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Vertragswesen\GAS\Lieferantenrahmenvertrag\KOV X\Internet\"/>
    </mc:Choice>
  </mc:AlternateContent>
  <bookViews>
    <workbookView xWindow="240" yWindow="1035" windowWidth="15600" windowHeight="6330" tabRatio="789" activeTab="6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W30" i="7" l="1"/>
  <c r="V30" i="7"/>
  <c r="U30" i="7"/>
  <c r="T30" i="7"/>
  <c r="S30" i="7"/>
  <c r="R30" i="7"/>
  <c r="X30" i="7" s="1"/>
  <c r="P30" i="7"/>
  <c r="O30" i="7"/>
  <c r="N30" i="7"/>
  <c r="M30" i="7"/>
  <c r="L30" i="7"/>
  <c r="K30" i="7"/>
  <c r="J30" i="7"/>
  <c r="I30" i="7"/>
  <c r="H30" i="7"/>
  <c r="Q30" i="7" s="1"/>
  <c r="F30" i="7"/>
  <c r="W29" i="7"/>
  <c r="V29" i="7"/>
  <c r="U29" i="7"/>
  <c r="T29" i="7"/>
  <c r="S29" i="7"/>
  <c r="R29" i="7"/>
  <c r="P29" i="7"/>
  <c r="O29" i="7"/>
  <c r="N29" i="7"/>
  <c r="M29" i="7"/>
  <c r="L29" i="7"/>
  <c r="K29" i="7"/>
  <c r="J29" i="7"/>
  <c r="I29" i="7"/>
  <c r="H29" i="7"/>
  <c r="F29" i="7"/>
  <c r="F27" i="7"/>
  <c r="H27" i="7"/>
  <c r="I27" i="7"/>
  <c r="J27" i="7"/>
  <c r="K27" i="7"/>
  <c r="L27" i="7"/>
  <c r="M27" i="7"/>
  <c r="N27" i="7"/>
  <c r="O27" i="7"/>
  <c r="P27" i="7"/>
  <c r="R27" i="7"/>
  <c r="S27" i="7"/>
  <c r="T27" i="7"/>
  <c r="U27" i="7"/>
  <c r="V27" i="7"/>
  <c r="W27" i="7"/>
  <c r="F28" i="7"/>
  <c r="H28" i="7"/>
  <c r="I28" i="7"/>
  <c r="J28" i="7"/>
  <c r="K28" i="7"/>
  <c r="L28" i="7"/>
  <c r="M28" i="7"/>
  <c r="N28" i="7"/>
  <c r="O28" i="7"/>
  <c r="P28" i="7"/>
  <c r="R28" i="7"/>
  <c r="S28" i="7"/>
  <c r="T28" i="7"/>
  <c r="U28" i="7"/>
  <c r="V28" i="7"/>
  <c r="W28" i="7"/>
  <c r="X27" i="7" l="1"/>
  <c r="Q27" i="7"/>
  <c r="Q28" i="7"/>
  <c r="Q29" i="7"/>
  <c r="X29" i="7"/>
  <c r="X28" i="7"/>
  <c r="E7" i="18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G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E63" i="18"/>
  <c r="J6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G21" i="18" l="1"/>
  <c r="E21" i="18" s="1"/>
  <c r="I21" i="18"/>
  <c r="N21" i="18"/>
  <c r="D56" i="18"/>
  <c r="J55" i="18" s="1"/>
  <c r="K21" i="18"/>
  <c r="M21" i="18"/>
  <c r="H21" i="18"/>
  <c r="F21" i="18"/>
  <c r="L21" i="18"/>
  <c r="E31" i="18"/>
  <c r="D66" i="18"/>
  <c r="K65" i="18" s="1"/>
  <c r="M65" i="18"/>
  <c r="G55" i="18"/>
  <c r="L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K5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E65" i="18" l="1"/>
  <c r="X12" i="7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C7" i="1" l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6" i="7" l="1"/>
  <c r="L26" i="7"/>
  <c r="H26" i="7"/>
  <c r="N25" i="7"/>
  <c r="J25" i="7"/>
  <c r="P24" i="7"/>
  <c r="L24" i="7"/>
  <c r="H24" i="7"/>
  <c r="N23" i="7"/>
  <c r="J23" i="7"/>
  <c r="P22" i="7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H14" i="7"/>
  <c r="N13" i="7"/>
  <c r="J13" i="7"/>
  <c r="P12" i="7"/>
  <c r="L12" i="7"/>
  <c r="H12" i="7"/>
  <c r="K23" i="7"/>
  <c r="F21" i="7"/>
  <c r="O19" i="7"/>
  <c r="I18" i="7"/>
  <c r="F17" i="7"/>
  <c r="O15" i="7"/>
  <c r="M14" i="7"/>
  <c r="O13" i="7"/>
  <c r="F13" i="7"/>
  <c r="O26" i="7"/>
  <c r="K26" i="7"/>
  <c r="F26" i="7"/>
  <c r="M25" i="7"/>
  <c r="I25" i="7"/>
  <c r="O24" i="7"/>
  <c r="K24" i="7"/>
  <c r="F24" i="7"/>
  <c r="M23" i="7"/>
  <c r="I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O12" i="7"/>
  <c r="K12" i="7"/>
  <c r="F12" i="7"/>
  <c r="N16" i="7"/>
  <c r="P15" i="7"/>
  <c r="H15" i="7"/>
  <c r="J14" i="7"/>
  <c r="L13" i="7"/>
  <c r="N12" i="7"/>
  <c r="M26" i="7"/>
  <c r="F25" i="7"/>
  <c r="O23" i="7"/>
  <c r="M22" i="7"/>
  <c r="O21" i="7"/>
  <c r="M20" i="7"/>
  <c r="F19" i="7"/>
  <c r="O17" i="7"/>
  <c r="M16" i="7"/>
  <c r="K15" i="7"/>
  <c r="I14" i="7"/>
  <c r="K13" i="7"/>
  <c r="I12" i="7"/>
  <c r="N26" i="7"/>
  <c r="J26" i="7"/>
  <c r="P25" i="7"/>
  <c r="L25" i="7"/>
  <c r="H25" i="7"/>
  <c r="N24" i="7"/>
  <c r="J24" i="7"/>
  <c r="P23" i="7"/>
  <c r="L23" i="7"/>
  <c r="H23" i="7"/>
  <c r="N22" i="7"/>
  <c r="J22" i="7"/>
  <c r="P21" i="7"/>
  <c r="L21" i="7"/>
  <c r="H21" i="7"/>
  <c r="N20" i="7"/>
  <c r="J20" i="7"/>
  <c r="P19" i="7"/>
  <c r="L19" i="7"/>
  <c r="H19" i="7"/>
  <c r="N18" i="7"/>
  <c r="J18" i="7"/>
  <c r="P17" i="7"/>
  <c r="L17" i="7"/>
  <c r="H17" i="7"/>
  <c r="J16" i="7"/>
  <c r="L15" i="7"/>
  <c r="N14" i="7"/>
  <c r="P13" i="7"/>
  <c r="H13" i="7"/>
  <c r="J12" i="7"/>
  <c r="I26" i="7"/>
  <c r="O25" i="7"/>
  <c r="K25" i="7"/>
  <c r="M24" i="7"/>
  <c r="I24" i="7"/>
  <c r="F23" i="7"/>
  <c r="I22" i="7"/>
  <c r="K21" i="7"/>
  <c r="I20" i="7"/>
  <c r="K19" i="7"/>
  <c r="M18" i="7"/>
  <c r="K17" i="7"/>
  <c r="I16" i="7"/>
  <c r="F15" i="7"/>
  <c r="M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<sst xmlns="http://schemas.openxmlformats.org/spreadsheetml/2006/main" count="1314" uniqueCount="685">
  <si>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</si>
  <si>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</si>
  <si>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</si>
  <si>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</si>
  <si>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</si>
  <si>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</si>
  <si>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</si>
  <si>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</si>
  <si>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</si>
  <si>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</si>
  <si>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</si>
  <si>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</si>
  <si>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</si>
  <si>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</si>
  <si>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</si>
  <si>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</si>
  <si>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</si>
  <si>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</si>
  <si>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</si>
  <si>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</si>
  <si>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</si>
  <si>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</si>
  <si>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</si>
  <si>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</si>
  <si>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</si>
  <si>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</si>
  <si>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</si>
  <si>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</si>
  <si>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</si>
  <si>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</si>
  <si>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</si>
  <si>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</si>
  <si>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</si>
  <si>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</si>
  <si>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</si>
  <si>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</si>
  <si>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</si>
  <si>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</si>
  <si>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</si>
  <si>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</si>
  <si>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</si>
  <si>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</si>
  <si>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</si>
  <si>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</si>
  <si>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</si>
  <si>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</si>
  <si>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</si>
  <si>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</si>
  <si>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</si>
  <si>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</si>
  <si>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</si>
  <si>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</si>
  <si>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</si>
  <si>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</si>
  <si>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</si>
  <si>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</si>
  <si>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</si>
  <si>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</si>
  <si>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</si>
  <si>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</si>
  <si>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</si>
  <si>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</si>
  <si>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</si>
  <si>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</si>
  <si>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</si>
  <si>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</si>
  <si>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</si>
  <si>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</si>
  <si>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</si>
  <si>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</si>
  <si>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</si>
  <si>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</si>
  <si>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</si>
  <si>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</si>
  <si>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</si>
  <si>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</si>
  <si>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</si>
  <si>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</si>
  <si>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</si>
  <si>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</si>
  <si>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</si>
  <si>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</si>
  <si>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</si>
  <si>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</si>
  <si>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</si>
  <si>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</si>
  <si>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</si>
  <si>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</si>
  <si>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</si>
  <si>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</si>
  <si>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</si>
  <si>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</si>
  <si>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</si>
  <si>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</si>
  <si>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</si>
  <si>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</si>
  <si>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</si>
  <si>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</si>
  <si>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</si>
  <si>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</si>
  <si>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</si>
  <si>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</si>
  <si>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</si>
  <si>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</si>
  <si>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</si>
  <si>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</si>
  <si>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</si>
  <si>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</si>
  <si>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</si>
  <si>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</si>
  <si>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</si>
  <si>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</si>
  <si>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</si>
  <si>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</si>
  <si>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</si>
  <si>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</si>
  <si>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</si>
  <si>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</si>
  <si>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</si>
  <si>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</si>
  <si>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</si>
  <si>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</si>
  <si>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</si>
  <si>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</si>
  <si>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</si>
  <si>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</si>
  <si>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</si>
  <si>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</si>
  <si>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</si>
  <si>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</si>
  <si>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</si>
  <si>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</si>
  <si>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</si>
  <si>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</si>
  <si>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</si>
  <si>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</si>
  <si>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</si>
  <si>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</si>
  <si>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</si>
  <si>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</si>
  <si>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</si>
  <si>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</si>
  <si>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</si>
  <si>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</si>
  <si>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</si>
  <si>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</si>
  <si>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</si>
  <si>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</si>
  <si>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</si>
  <si>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</si>
  <si>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</si>
  <si>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</si>
  <si>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</si>
  <si>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</si>
  <si>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</si>
  <si>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</si>
  <si>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</si>
  <si>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</si>
  <si>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</si>
  <si>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</si>
  <si>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</si>
  <si>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</si>
  <si>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</si>
  <si>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</si>
  <si>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</si>
  <si>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</si>
  <si>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</si>
  <si>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</si>
  <si>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</si>
  <si>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</si>
  <si>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</si>
  <si>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</si>
  <si>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</si>
  <si>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</si>
  <si>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</si>
  <si>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</si>
  <si>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</si>
  <si>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</si>
  <si>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</si>
  <si>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</si>
  <si>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</si>
  <si>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</si>
  <si>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</si>
  <si>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</si>
  <si>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</si>
  <si>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</si>
  <si>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</si>
  <si>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</si>
  <si>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</si>
  <si>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</si>
  <si>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</si>
  <si>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</si>
  <si>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</si>
  <si>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</si>
  <si>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</si>
  <si>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</si>
  <si>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</si>
  <si>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</si>
  <si>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</si>
  <si>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</si>
  <si>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</si>
  <si>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</si>
  <si>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</si>
  <si>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</si>
  <si>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</si>
  <si>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</si>
  <si>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</si>
  <si>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</si>
  <si>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</si>
  <si>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</si>
  <si>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</si>
  <si>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</si>
  <si>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</si>
  <si>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</si>
  <si>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</si>
  <si>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</si>
  <si>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</si>
  <si>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</si>
  <si>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</si>
  <si>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</si>
  <si>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</si>
  <si>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</si>
  <si>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</si>
  <si>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</si>
  <si>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</si>
  <si>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</si>
  <si>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</si>
  <si>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</si>
  <si>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</si>
  <si>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</si>
  <si>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</si>
  <si>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</si>
  <si>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</si>
  <si>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</si>
  <si>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</si>
  <si>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</si>
  <si>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</si>
  <si>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</si>
  <si>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</si>
  <si>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</si>
  <si>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</si>
  <si>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</si>
  <si>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</si>
  <si>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</si>
  <si>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</si>
  <si>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</si>
  <si>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</si>
  <si>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</si>
  <si>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</si>
  <si>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</si>
  <si>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</si>
  <si>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</si>
  <si>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</si>
  <si>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</si>
  <si>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</si>
  <si>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</si>
  <si>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</si>
  <si>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</si>
  <si>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</si>
  <si>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</si>
  <si>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</si>
  <si>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</si>
  <si>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</si>
  <si>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</si>
  <si>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</si>
  <si>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</si>
  <si>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</si>
  <si>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</si>
  <si>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</si>
  <si>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</si>
  <si>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</si>
  <si>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</si>
  <si>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</si>
  <si>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</si>
  <si>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</si>
  <si>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</si>
  <si>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</si>
  <si>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</si>
  <si>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</si>
  <si>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</si>
  <si>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</si>
  <si>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</si>
  <si>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</si>
  <si>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</si>
  <si>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</si>
  <si>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</si>
  <si>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</si>
  <si>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</si>
  <si>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</si>
  <si>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</si>
  <si>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</si>
  <si>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</si>
  <si>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</si>
  <si>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</si>
  <si>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</si>
  <si>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</si>
  <si>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</si>
  <si>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</si>
  <si>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</si>
  <si>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</si>
  <si>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</si>
  <si>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</si>
  <si>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</si>
  <si>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</si>
  <si>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</si>
  <si>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</si>
  <si>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</si>
  <si>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</si>
  <si>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</si>
  <si>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</si>
  <si>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</si>
  <si>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</si>
  <si>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</si>
  <si>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</si>
  <si>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</si>
  <si>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</si>
  <si>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</si>
  <si>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</si>
  <si>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</si>
  <si>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</si>
  <si>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</si>
  <si>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</si>
  <si>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</si>
  <si>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</si>
  <si>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</si>
  <si>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</si>
  <si>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</si>
  <si>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</si>
  <si>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</si>
  <si>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</si>
  <si>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</si>
  <si>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</si>
  <si>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</si>
  <si>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</si>
  <si>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</si>
  <si>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</si>
  <si>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</si>
  <si>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</si>
  <si>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</si>
  <si>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</si>
  <si>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</si>
  <si>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</si>
  <si>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</si>
  <si>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</si>
  <si>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</si>
  <si>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</si>
  <si>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</si>
  <si>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</si>
  <si>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</si>
  <si>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</si>
  <si>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</si>
  <si>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</si>
  <si>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</si>
  <si>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</si>
  <si>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</si>
  <si>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</si>
  <si>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</si>
  <si>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</si>
  <si>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</si>
  <si>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</si>
  <si>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</si>
  <si>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</si>
  <si>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</si>
  <si>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</si>
  <si>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</si>
  <si>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</si>
  <si>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</si>
  <si>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</si>
  <si>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</si>
  <si>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</si>
  <si>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</si>
  <si>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</si>
  <si>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</si>
  <si>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</si>
  <si>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</si>
  <si>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</si>
  <si>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</si>
  <si>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</si>
  <si>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</si>
  <si>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</si>
  <si>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</si>
  <si>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</si>
  <si>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</si>
  <si>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</si>
  <si>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</si>
  <si>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</si>
  <si>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</si>
  <si>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</si>
  <si>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</si>
  <si>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</si>
  <si>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</si>
  <si>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</si>
  <si>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</si>
  <si>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</si>
  <si>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</si>
  <si>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</si>
  <si>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</si>
  <si>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</si>
  <si>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</si>
  <si>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</si>
  <si>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</si>
  <si>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</si>
  <si>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</si>
  <si>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</si>
  <si>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</si>
  <si>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</si>
  <si>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</si>
  <si>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</si>
  <si>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</si>
  <si>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</si>
  <si>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</si>
  <si>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</si>
  <si>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</si>
  <si>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</si>
  <si>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</si>
  <si>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</si>
  <si>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</si>
  <si>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</si>
  <si>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</si>
  <si>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</si>
  <si>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</si>
  <si>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</si>
  <si>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</si>
  <si>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</si>
  <si>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</si>
  <si>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</si>
  <si>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</si>
  <si>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</si>
  <si>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</si>
  <si>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</si>
  <si>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</si>
  <si>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</si>
  <si>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</si>
  <si>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</si>
  <si>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</si>
  <si>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</si>
  <si>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</si>
  <si>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</si>
  <si>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</si>
  <si>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</si>
  <si>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</si>
  <si>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</si>
  <si>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</si>
  <si>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</si>
  <si>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</si>
  <si>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</si>
  <si>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</si>
  <si>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</si>
  <si>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</si>
  <si>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</si>
  <si>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</si>
  <si>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</si>
  <si>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</si>
  <si>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</si>
  <si>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</si>
  <si>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</si>
  <si>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</si>
  <si>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</si>
  <si>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</si>
  <si>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</si>
  <si>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</si>
  <si>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</si>
  <si>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</si>
  <si>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</si>
  <si>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</si>
  <si>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</si>
  <si>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</si>
  <si>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</si>
  <si>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</si>
  <si>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</si>
  <si>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</si>
  <si>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</si>
  <si>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</si>
  <si>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</si>
  <si>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</si>
  <si>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</si>
  <si>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</si>
  <si>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</si>
  <si>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</si>
  <si>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</si>
  <si>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</si>
  <si>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</si>
  <si>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</si>
  <si>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</si>
  <si>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</si>
  <si>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</si>
  <si>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</si>
  <si>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</si>
  <si>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</si>
  <si>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</si>
  <si>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</si>
  <si>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</si>
  <si>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</si>
  <si>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</si>
  <si>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DE_HEF33</t>
  </si>
  <si>
    <t>Anzahl verwendeter Profile:</t>
  </si>
  <si>
    <t>Muster</t>
  </si>
  <si>
    <t>Hinweis: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</si>
  <si>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</si>
  <si>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</si>
  <si>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</si>
  <si>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</si>
  <si>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</si>
  <si>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</si>
  <si>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</si>
  <si>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DE_HMF33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</si>
  <si>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</si>
  <si>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</si>
  <si>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</si>
  <si>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</si>
  <si>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</si>
  <si>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</si>
  <si>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</si>
  <si>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</si>
  <si>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</si>
  <si>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</si>
  <si>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</si>
  <si>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</si>
  <si>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</si>
  <si>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</si>
  <si>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</si>
  <si>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</si>
  <si>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</si>
  <si>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</si>
  <si>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</si>
  <si>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</si>
  <si>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</si>
  <si>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</si>
  <si>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</si>
  <si>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</si>
  <si>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</si>
  <si>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</si>
  <si>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</si>
  <si>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</si>
  <si>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</si>
  <si>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</si>
  <si>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</si>
  <si>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</si>
  <si>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</si>
  <si>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</si>
  <si>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</si>
  <si>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</si>
  <si>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</si>
  <si>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</si>
  <si>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</si>
  <si>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</si>
  <si>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</si>
  <si>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</si>
  <si>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</si>
  <si>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</si>
  <si>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</si>
  <si>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</si>
  <si>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</si>
  <si>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</si>
  <si>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</si>
  <si>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</si>
  <si>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</si>
  <si>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</si>
  <si>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</si>
  <si>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</si>
  <si>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</si>
  <si>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</si>
  <si>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</si>
  <si>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</si>
  <si>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</si>
  <si>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</si>
  <si>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</si>
  <si>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</si>
  <si>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</si>
  <si>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</si>
  <si>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</si>
  <si>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</si>
  <si>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</si>
  <si>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</si>
  <si>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</si>
  <si>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</si>
  <si>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</si>
  <si>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</si>
  <si>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</si>
  <si>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</si>
  <si>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</si>
  <si>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</si>
  <si>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</si>
  <si>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</si>
  <si>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</si>
  <si>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</si>
  <si>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</si>
  <si>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</si>
  <si>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</si>
  <si>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</si>
  <si>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</si>
  <si>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</si>
  <si>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</si>
  <si>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</si>
  <si>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</si>
  <si>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</si>
  <si>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</si>
  <si>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</si>
  <si>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</si>
  <si>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</si>
  <si>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</si>
  <si>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</si>
  <si>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</si>
  <si>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</si>
  <si>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</si>
  <si>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</si>
  <si>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</si>
  <si>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</si>
  <si>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</si>
  <si>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</si>
  <si>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</si>
  <si>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</si>
  <si>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</si>
  <si>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</si>
  <si>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</si>
  <si>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</si>
  <si>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</si>
  <si>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</si>
  <si>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</si>
  <si>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</si>
  <si>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</si>
  <si>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</si>
  <si>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</si>
  <si>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</si>
  <si>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</si>
  <si>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</si>
  <si>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</si>
  <si>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</si>
  <si>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</si>
  <si>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</si>
  <si>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</si>
  <si>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</si>
  <si>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</si>
  <si>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</si>
  <si>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</si>
  <si>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</si>
  <si>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</si>
  <si>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</si>
  <si>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</si>
  <si>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</si>
  <si>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</si>
  <si>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</si>
  <si>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</si>
  <si>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</si>
  <si>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</si>
  <si>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</si>
  <si>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</si>
  <si>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</si>
  <si>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</si>
  <si>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</si>
  <si>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</si>
  <si>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</si>
  <si>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</si>
  <si>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</si>
  <si>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</si>
  <si>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</si>
  <si>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</si>
  <si>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Die Veröffentlichung erfolgt im Rahmen der Vorgaben der Kooperationsvereinbarung und des Leitfadens "Abwicklung von Standardlastprofilen Gas".</t>
  </si>
  <si>
    <t>Bei Netzbetreibern mit Marktgebietsüberlappung sollte das SLP Verfahren in beiden Marktgebieten identisch sein.</t>
  </si>
  <si>
    <t>SWE Netz GmbH</t>
  </si>
  <si>
    <t>9870045600003</t>
  </si>
  <si>
    <t>Magdeburger Allee 34</t>
  </si>
  <si>
    <t>Erfurt</t>
  </si>
  <si>
    <t>Marco Schmaderer / Julia Nicolaus</t>
  </si>
  <si>
    <t>netznutzung@stadtwerke-erfurt.de</t>
  </si>
  <si>
    <t>0361/564-2341 oder -2357</t>
  </si>
  <si>
    <t>GASPOOLNH7004561</t>
  </si>
  <si>
    <t>DE_HEF04</t>
  </si>
  <si>
    <t>DE_HMF04</t>
  </si>
  <si>
    <t>DE_HEF34</t>
  </si>
  <si>
    <t>DE_HMF34</t>
  </si>
  <si>
    <t>DE_GKO04</t>
  </si>
  <si>
    <t>DE_GBD04</t>
  </si>
  <si>
    <t>DE_GHA04</t>
  </si>
  <si>
    <t>DE_GBA04</t>
  </si>
  <si>
    <t>DE_GGA04</t>
  </si>
  <si>
    <t>DE_GMK04</t>
  </si>
  <si>
    <t>DE_GGB04</t>
  </si>
  <si>
    <t>DE_GBH04</t>
  </si>
  <si>
    <t>DE_GPD04</t>
  </si>
  <si>
    <t>DE_GMF04</t>
  </si>
  <si>
    <t>DE_GWA04</t>
  </si>
  <si>
    <t>DE_GHD04</t>
  </si>
  <si>
    <t>Erfurt-Stadt</t>
  </si>
  <si>
    <t>vP0560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</si>
</sst>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0" fontId="0" fillId="0" borderId="17" xfId="0" applyNumberFormat="1" applyFill="1" applyBorder="1" applyAlignment="1" applyProtection="1">
      <alignment horizontal="left" vertical="center"/>
      <protection locked="0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95"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s="8" t="s">
        <v>657</v>
      </c>
    </row>
    <row r="8" spans="2:7" s="8" customFormat="1">
      <c r="B8" s="8" t="s">
        <v>656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654</v>
      </c>
    </row>
    <row r="12" spans="2:7" s="8" customFormat="1">
      <c r="B12" s="8" t="s">
        <v>658</v>
      </c>
    </row>
    <row r="13" spans="2:7" s="8" customFormat="1">
      <c r="B13" s="8" t="s">
        <v>655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42248</v>
      </c>
      <c r="E29" s="8"/>
      <c r="F29" s="8"/>
      <c r="G29" s="8"/>
      <c r="H29" s="8"/>
    </row>
    <row r="30" spans="2:12">
      <c r="B30" s="21" t="s">
        <v>348</v>
      </c>
      <c r="C30" s="327" t="s">
        <v>647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E28" sqref="E28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651</v>
      </c>
      <c r="D4" s="27">
        <v>43292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650</v>
      </c>
      <c r="D6" s="27">
        <v>43374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659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660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661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99086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662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663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664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665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396</v>
      </c>
      <c r="E27" s="39"/>
      <c r="F27" s="11"/>
    </row>
    <row r="28" spans="1:15">
      <c r="B28" s="15"/>
      <c r="C28" s="65" t="s">
        <v>499</v>
      </c>
      <c r="D28" s="48" t="s">
        <v>659</v>
      </c>
      <c r="E28" s="38"/>
      <c r="F28" s="11"/>
      <c r="G28" s="2"/>
    </row>
    <row r="29" spans="1:15">
      <c r="B29" s="15"/>
      <c r="C29" s="22" t="s">
        <v>396</v>
      </c>
      <c r="D29" s="45" t="s">
        <v>659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94" priority="2">
      <formula>IF(CELL("Zeile",D29)&lt;$D$25+CELL("Zeile",$D$29),1,0)</formula>
    </cfRule>
  </conditionalFormatting>
  <conditionalFormatting sqref="D30:D48">
    <cfRule type="expression" dxfId="93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SWE Netz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SWE Netz GmbH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9870045600003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43374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612</v>
      </c>
      <c r="D13" s="33" t="s">
        <v>613</v>
      </c>
      <c r="E13" s="15"/>
      <c r="H13" s="271" t="s">
        <v>613</v>
      </c>
      <c r="I13" s="271" t="s">
        <v>614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666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572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610</v>
      </c>
      <c r="D22" s="49" t="s">
        <v>606</v>
      </c>
      <c r="E22" s="15"/>
      <c r="H22" s="267" t="s">
        <v>606</v>
      </c>
      <c r="I22" s="267" t="s">
        <v>607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608</v>
      </c>
      <c r="E23" s="15"/>
      <c r="H23" s="267" t="s">
        <v>609</v>
      </c>
      <c r="I23" s="8" t="s">
        <v>605</v>
      </c>
      <c r="J23" s="8"/>
      <c r="K23" s="8"/>
      <c r="L23" s="268"/>
    </row>
    <row r="24" spans="2:16" ht="15" customHeight="1">
      <c r="B24" s="22"/>
      <c r="C24" s="24" t="s">
        <v>611</v>
      </c>
      <c r="D24" s="24" t="str">
        <f>IF(D22=$H$22,L24,IF(D23=$H$24,M24,N24))</f>
        <v>=&gt;  Q(D) = KW  x  h(T, SLP-Typ)  x  F(WT)</v>
      </c>
      <c r="E24" s="15"/>
      <c r="H24" s="267" t="s">
        <v>608</v>
      </c>
      <c r="I24" s="267" t="s">
        <v>615</v>
      </c>
      <c r="J24" s="8"/>
      <c r="K24" s="8"/>
      <c r="L24" s="270" t="s">
        <v>616</v>
      </c>
      <c r="M24" s="270" t="s">
        <v>618</v>
      </c>
      <c r="N24" s="270" t="s">
        <v>617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575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619</v>
      </c>
      <c r="D27" s="42" t="s">
        <v>620</v>
      </c>
      <c r="E27" s="15"/>
      <c r="H27" s="297" t="s">
        <v>620</v>
      </c>
      <c r="I27" s="269" t="s">
        <v>621</v>
      </c>
      <c r="J27" s="269" t="s">
        <v>622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623</v>
      </c>
      <c r="I28" s="270" t="s">
        <v>624</v>
      </c>
      <c r="J28" s="270" t="s">
        <v>625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626</v>
      </c>
      <c r="I29" s="270" t="s">
        <v>627</v>
      </c>
      <c r="J29" s="270" t="s">
        <v>628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574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629</v>
      </c>
      <c r="I32" s="270" t="s">
        <v>630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631</v>
      </c>
      <c r="I33" s="267" t="s">
        <v>626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546</v>
      </c>
      <c r="C35" s="24" t="s">
        <v>495</v>
      </c>
      <c r="D35" s="42">
        <v>19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547</v>
      </c>
      <c r="C37" s="5" t="s">
        <v>366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548</v>
      </c>
      <c r="C40" s="5" t="s">
        <v>367</v>
      </c>
      <c r="D40" s="36">
        <v>500</v>
      </c>
      <c r="E40" s="15" t="s">
        <v>538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537</v>
      </c>
    </row>
    <row r="44" spans="2:39" ht="18" customHeight="1">
      <c r="C44" s="3" t="s">
        <v>539</v>
      </c>
    </row>
    <row r="45" spans="2:39" ht="18" customHeight="1">
      <c r="C45" s="3"/>
    </row>
    <row r="46" spans="2:39" ht="15" customHeight="1">
      <c r="B46" s="22" t="s">
        <v>549</v>
      </c>
      <c r="C46" s="60" t="s">
        <v>573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583</v>
      </c>
      <c r="D48" s="45" t="s">
        <v>683</v>
      </c>
    </row>
    <row r="49" spans="3:4" ht="18" customHeight="1">
      <c r="C49" s="22" t="s">
        <v>584</v>
      </c>
      <c r="D49" s="45"/>
    </row>
    <row r="50" spans="3:4" ht="18" customHeight="1">
      <c r="C50" s="22" t="s">
        <v>585</v>
      </c>
      <c r="D50" s="45"/>
    </row>
    <row r="51" spans="3:4" ht="18" customHeight="1">
      <c r="C51" s="22" t="s">
        <v>586</v>
      </c>
      <c r="D51" s="45"/>
    </row>
    <row r="52" spans="3:4" ht="18" customHeight="1">
      <c r="C52" s="22" t="s">
        <v>587</v>
      </c>
      <c r="D52" s="45"/>
    </row>
    <row r="53" spans="3:4" ht="18" customHeight="1">
      <c r="C53" s="22" t="s">
        <v>588</v>
      </c>
      <c r="D53" s="45"/>
    </row>
    <row r="54" spans="3:4" ht="18" customHeight="1">
      <c r="C54" s="22" t="s">
        <v>589</v>
      </c>
      <c r="D54" s="45"/>
    </row>
    <row r="55" spans="3:4" ht="18" customHeight="1">
      <c r="C55" s="22" t="s">
        <v>590</v>
      </c>
      <c r="D55" s="45"/>
    </row>
    <row r="56" spans="3:4" ht="18" customHeight="1">
      <c r="C56" s="22" t="s">
        <v>591</v>
      </c>
      <c r="D56" s="45"/>
    </row>
    <row r="57" spans="3:4" ht="18" customHeight="1">
      <c r="C57" s="22" t="s">
        <v>592</v>
      </c>
      <c r="D57" s="45"/>
    </row>
    <row r="58" spans="3:4" ht="18" customHeight="1">
      <c r="C58" s="22" t="s">
        <v>593</v>
      </c>
      <c r="D58" s="45"/>
    </row>
    <row r="59" spans="3:4" ht="18" customHeight="1">
      <c r="C59" s="22" t="s">
        <v>594</v>
      </c>
      <c r="D59" s="45"/>
    </row>
    <row r="60" spans="3:4" ht="18" customHeight="1">
      <c r="C60" s="22" t="s">
        <v>595</v>
      </c>
      <c r="D60" s="45"/>
    </row>
    <row r="61" spans="3:4" ht="18" customHeight="1">
      <c r="C61" s="22" t="s">
        <v>596</v>
      </c>
      <c r="D61" s="45"/>
    </row>
    <row r="62" spans="3:4" ht="18" customHeight="1">
      <c r="C62" s="22" t="s">
        <v>597</v>
      </c>
      <c r="D62" s="45"/>
    </row>
  </sheetData>
  <sheetProtection sheet="1" objects="1" scenarios="1"/>
  <conditionalFormatting sqref="D15">
    <cfRule type="expression" dxfId="92" priority="21">
      <formula>IF($D$11="Gaspool",1,0)</formula>
    </cfRule>
  </conditionalFormatting>
  <conditionalFormatting sqref="D16">
    <cfRule type="expression" dxfId="91" priority="18">
      <formula>IF($D$11="NCG",1,0)</formula>
    </cfRule>
  </conditionalFormatting>
  <conditionalFormatting sqref="D48:D62">
    <cfRule type="expression" dxfId="90" priority="17">
      <formula>IF(CELL("Zeile",D48)&lt;$D$46+CELL("Zeile",$D$48),1,0)</formula>
    </cfRule>
  </conditionalFormatting>
  <conditionalFormatting sqref="D49:D62">
    <cfRule type="expression" dxfId="89" priority="16">
      <formula>IF(CELL(D49)&lt;$D$36+27,1,0)</formula>
    </cfRule>
  </conditionalFormatting>
  <conditionalFormatting sqref="D23">
    <cfRule type="expression" dxfId="88" priority="15">
      <formula>IF($D$22=$H$22,1,0)</formula>
    </cfRule>
  </conditionalFormatting>
  <conditionalFormatting sqref="D31">
    <cfRule type="expression" dxfId="87" priority="4">
      <formula>IF($D$18="synthetisch",1,0)</formula>
    </cfRule>
  </conditionalFormatting>
  <conditionalFormatting sqref="D28">
    <cfRule type="expression" dxfId="86" priority="2">
      <formula>IF(AND($D$27=$I$27,$D$26=$H$26),1,0)</formula>
    </cfRule>
  </conditionalFormatting>
  <conditionalFormatting sqref="D26:D28">
    <cfRule type="expression" dxfId="85" priority="5">
      <formula>IF($D$18="analytisch",1,0)</formula>
    </cfRule>
  </conditionalFormatting>
  <conditionalFormatting sqref="D27">
    <cfRule type="expression" dxfId="84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C72" sqref="C72:F72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541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SWE Netz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SWE Netz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9870045600003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43374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497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520</v>
      </c>
      <c r="D9" s="129"/>
      <c r="E9" s="129"/>
      <c r="F9" s="153">
        <f>'SLP-Verfahren'!D46</f>
        <v>1</v>
      </c>
      <c r="H9" s="171" t="s">
        <v>598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582</v>
      </c>
      <c r="D10" s="129"/>
      <c r="E10" s="129"/>
      <c r="F10" s="49">
        <v>1</v>
      </c>
      <c r="G10" s="57"/>
      <c r="H10" s="171" t="s">
        <v>599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600</v>
      </c>
      <c r="D11" s="129"/>
      <c r="E11" s="129"/>
      <c r="F11" s="333" t="str">
        <f>INDEX('SLP-Verfahren'!D48:D62,'SLP-Temp-Gebiet #01'!F10)</f>
        <v>Erfurt-Stadt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581</v>
      </c>
      <c r="D13" s="342"/>
      <c r="E13" s="342"/>
      <c r="F13" s="181" t="s">
        <v>545</v>
      </c>
      <c r="G13" s="129" t="s">
        <v>543</v>
      </c>
      <c r="H13" s="261" t="s">
        <v>560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/>
      <c r="G14" s="263"/>
      <c r="H14" s="51"/>
      <c r="I14" s="57"/>
      <c r="J14" s="129"/>
      <c r="K14" s="129"/>
      <c r="L14" s="129"/>
      <c r="M14" s="129"/>
      <c r="N14" s="129"/>
      <c r="O14" s="332" t="s">
        <v>648</v>
      </c>
      <c r="R14" s="207" t="s">
        <v>561</v>
      </c>
      <c r="S14" s="207" t="s">
        <v>562</v>
      </c>
      <c r="T14" s="207" t="s">
        <v>563</v>
      </c>
      <c r="U14" s="207" t="s">
        <v>564</v>
      </c>
      <c r="V14" s="207" t="s">
        <v>544</v>
      </c>
      <c r="W14" s="207" t="s">
        <v>565</v>
      </c>
      <c r="X14" s="207" t="s">
        <v>566</v>
      </c>
      <c r="Y14" s="207" t="s">
        <v>567</v>
      </c>
      <c r="Z14" s="207" t="s">
        <v>568</v>
      </c>
      <c r="AA14" s="207" t="s">
        <v>569</v>
      </c>
      <c r="AB14" s="207" t="s">
        <v>570</v>
      </c>
      <c r="AC14" s="207" t="s">
        <v>571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/>
      <c r="G15" s="263"/>
      <c r="H15" s="51"/>
      <c r="I15" s="57"/>
      <c r="J15" s="129"/>
      <c r="K15" s="129"/>
      <c r="L15" s="129"/>
      <c r="M15" s="129"/>
      <c r="N15" s="129"/>
      <c r="O15" s="160" t="s">
        <v>139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546</v>
      </c>
      <c r="AJ15" s="260" t="s">
        <v>547</v>
      </c>
      <c r="AK15" s="260" t="s">
        <v>548</v>
      </c>
      <c r="AL15" s="260" t="s">
        <v>549</v>
      </c>
      <c r="AM15" s="260" t="s">
        <v>550</v>
      </c>
      <c r="AN15" s="260" t="s">
        <v>551</v>
      </c>
      <c r="AO15" s="260" t="s">
        <v>552</v>
      </c>
      <c r="AP15" s="260" t="s">
        <v>553</v>
      </c>
      <c r="AQ15" s="260" t="s">
        <v>554</v>
      </c>
      <c r="AR15" s="260" t="s">
        <v>555</v>
      </c>
      <c r="AS15" s="260" t="s">
        <v>556</v>
      </c>
      <c r="AT15" s="260" t="s">
        <v>557</v>
      </c>
      <c r="AU15" s="260" t="s">
        <v>558</v>
      </c>
      <c r="AV15" s="260" t="s">
        <v>559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515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521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516</v>
      </c>
      <c r="D20" s="178" t="s">
        <v>511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523</v>
      </c>
      <c r="D21" s="152" t="s">
        <v>513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534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DWD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518</v>
      </c>
      <c r="D24" s="186"/>
      <c r="E24" s="155" t="s">
        <v>683</v>
      </c>
      <c r="F24" s="155" t="s">
        <v>579</v>
      </c>
      <c r="G24" s="155"/>
      <c r="H24" s="155"/>
      <c r="I24" s="155"/>
      <c r="J24" s="155"/>
      <c r="K24" s="155"/>
      <c r="L24" s="155"/>
      <c r="M24" s="155"/>
      <c r="N24" s="155"/>
      <c r="O24" s="183" t="s">
        <v>519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512</v>
      </c>
      <c r="D25" s="186"/>
      <c r="E25" s="357" t="s">
        <v>684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502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517</v>
      </c>
      <c r="D28" s="129"/>
      <c r="E28" s="129"/>
      <c r="F28" s="49">
        <v>1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524</v>
      </c>
      <c r="D31" s="184" t="s">
        <v>254</v>
      </c>
      <c r="E31" s="279">
        <f>1-SUMPRODUCT(F29:N29,F31:N31)</f>
        <v>1</v>
      </c>
      <c r="F31" s="279">
        <f>ROUND(F32/$D$32,4)</f>
        <v>0</v>
      </c>
      <c r="G31" s="279">
        <f t="shared" ref="G31:N31" si="3">ROUND(G32/$D$32,4)</f>
        <v>0</v>
      </c>
      <c r="H31" s="279">
        <f t="shared" si="3"/>
        <v>0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530</v>
      </c>
      <c r="D32" s="285">
        <f>SUMPRODUCT(E32:N32,E29:N29)</f>
        <v>1</v>
      </c>
      <c r="E32" s="280">
        <v>1</v>
      </c>
      <c r="F32" s="280"/>
      <c r="G32" s="280"/>
      <c r="H32" s="280"/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/>
      <c r="G33" s="155"/>
      <c r="H33" s="155"/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510</v>
      </c>
      <c r="F34" s="155"/>
      <c r="G34" s="155"/>
      <c r="H34" s="155"/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509</v>
      </c>
      <c r="S34" s="67" t="s">
        <v>510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602</v>
      </c>
      <c r="D35" s="152" t="s">
        <v>603</v>
      </c>
      <c r="E35" s="155" t="s">
        <v>601</v>
      </c>
      <c r="F35" s="155"/>
      <c r="G35" s="155"/>
      <c r="H35" s="155"/>
      <c r="I35" s="155" t="s">
        <v>601</v>
      </c>
      <c r="J35" s="155" t="s">
        <v>601</v>
      </c>
      <c r="K35" s="155" t="s">
        <v>601</v>
      </c>
      <c r="L35" s="155" t="s">
        <v>601</v>
      </c>
      <c r="M35" s="155" t="s">
        <v>601</v>
      </c>
      <c r="N35" s="155" t="s">
        <v>601</v>
      </c>
      <c r="O35" s="183" t="s">
        <v>142</v>
      </c>
      <c r="Q35" s="209"/>
      <c r="R35" s="67" t="s">
        <v>601</v>
      </c>
      <c r="S35" s="67" t="s">
        <v>604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535</v>
      </c>
      <c r="E36" s="161" t="s">
        <v>452</v>
      </c>
      <c r="F36" s="161"/>
      <c r="G36" s="161"/>
      <c r="H36" s="161"/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528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529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522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526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527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532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533</v>
      </c>
      <c r="D46" s="199" t="s">
        <v>531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531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576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540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516</v>
      </c>
      <c r="D54" s="178" t="s">
        <v>511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523</v>
      </c>
      <c r="D55" s="152" t="s">
        <v>513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534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518</v>
      </c>
      <c r="D58" s="186"/>
      <c r="E58" s="155" t="str">
        <f>E24</f>
        <v>Erfurt-Stadt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519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512</v>
      </c>
      <c r="D59" s="186"/>
      <c r="E59" s="159" t="str">
        <f>E25</f>
        <v>vP0560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Sonstiges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517</v>
      </c>
      <c r="D62" s="129"/>
      <c r="E62" s="129"/>
      <c r="F62" s="156">
        <f>F28</f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524</v>
      </c>
      <c r="D65" s="184" t="s">
        <v>254</v>
      </c>
      <c r="E65" s="279">
        <f>1-SUMPRODUCT(F63:N63,F65:N65)</f>
        <v>1</v>
      </c>
      <c r="F65" s="279">
        <f>ROUND(F66/$D$66,4)</f>
        <v>0</v>
      </c>
      <c r="G65" s="279">
        <f t="shared" ref="G65:N65" si="12">ROUND(G66/$D$66,4)</f>
        <v>0</v>
      </c>
      <c r="H65" s="279">
        <f t="shared" si="12"/>
        <v>0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530</v>
      </c>
      <c r="D66" s="184">
        <f>SUMPRODUCT(E66:N66,E63:N63)</f>
        <v>1</v>
      </c>
      <c r="E66" s="287">
        <f>E32</f>
        <v>1</v>
      </c>
      <c r="F66" s="287">
        <f t="shared" ref="F66:N66" si="13">F32</f>
        <v>0</v>
      </c>
      <c r="G66" s="287">
        <f t="shared" si="13"/>
        <v>0</v>
      </c>
      <c r="H66" s="287">
        <f t="shared" si="13"/>
        <v>0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>
        <f t="shared" ref="F67:N67" si="14">F33</f>
        <v>0</v>
      </c>
      <c r="G67" s="155">
        <f t="shared" si="14"/>
        <v>0</v>
      </c>
      <c r="H67" s="155">
        <f t="shared" si="14"/>
        <v>0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Kalendertag</v>
      </c>
      <c r="F68" s="158">
        <f t="shared" ref="F68:N68" si="15">F34</f>
        <v>0</v>
      </c>
      <c r="G68" s="158">
        <f t="shared" si="15"/>
        <v>0</v>
      </c>
      <c r="H68" s="158">
        <f t="shared" si="15"/>
        <v>0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602</v>
      </c>
      <c r="D69" s="152" t="s">
        <v>603</v>
      </c>
      <c r="E69" s="158" t="str">
        <f>E35</f>
        <v>CET/CEST</v>
      </c>
      <c r="F69" s="158">
        <f t="shared" ref="F69:N69" si="16">F35</f>
        <v>0</v>
      </c>
      <c r="G69" s="158">
        <f t="shared" si="16"/>
        <v>0</v>
      </c>
      <c r="H69" s="158">
        <f t="shared" si="16"/>
        <v>0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535</v>
      </c>
      <c r="E70" s="162" t="s">
        <v>453</v>
      </c>
      <c r="F70" s="162" t="s">
        <v>453</v>
      </c>
      <c r="G70" s="162">
        <f t="shared" ref="G70:N70" si="17">G36</f>
        <v>0</v>
      </c>
      <c r="H70" s="162">
        <f t="shared" si="17"/>
        <v>0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577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3 F24:N25">
    <cfRule type="expression" dxfId="82" priority="35">
      <formula>IF(E$20&lt;=$F$18,1,0)</formula>
    </cfRule>
  </conditionalFormatting>
  <conditionalFormatting sqref="E32:N36">
    <cfRule type="expression" dxfId="81" priority="34">
      <formula>IF(E$30&lt;=$F$28,1,0)</formula>
    </cfRule>
  </conditionalFormatting>
  <conditionalFormatting sqref="F26">
    <cfRule type="expression" dxfId="80" priority="33">
      <formula>IF(F$20&lt;=$F$18,1,0)</formula>
    </cfRule>
  </conditionalFormatting>
  <conditionalFormatting sqref="F26:N26">
    <cfRule type="expression" dxfId="79" priority="32">
      <formula>IF(F$20&lt;=$F$18,1,0)</formula>
    </cfRule>
  </conditionalFormatting>
  <conditionalFormatting sqref="E56:N59">
    <cfRule type="expression" dxfId="78" priority="29">
      <formula>IF(E$54&lt;=$F$52,1,0)</formula>
    </cfRule>
  </conditionalFormatting>
  <conditionalFormatting sqref="E60:N60">
    <cfRule type="expression" dxfId="77" priority="28">
      <formula>IF(E$54&lt;=$F$52,1,0)</formula>
    </cfRule>
  </conditionalFormatting>
  <conditionalFormatting sqref="E66:N68">
    <cfRule type="expression" dxfId="76" priority="22">
      <formula>IF(E$64&lt;=$F$62,1,0)</formula>
    </cfRule>
  </conditionalFormatting>
  <conditionalFormatting sqref="E65:N68 E70:N70">
    <cfRule type="expression" dxfId="75" priority="20">
      <formula>IF(E$64&gt;$F$62,1,0)</formula>
    </cfRule>
  </conditionalFormatting>
  <conditionalFormatting sqref="E56:N60">
    <cfRule type="expression" dxfId="74" priority="19">
      <formula>IF(E$54&gt;$F$52,1,0)</formula>
    </cfRule>
  </conditionalFormatting>
  <conditionalFormatting sqref="E21:N23 F24:N26">
    <cfRule type="expression" dxfId="73" priority="18">
      <formula>IF(E$20&gt;$F$18,1,0)</formula>
    </cfRule>
  </conditionalFormatting>
  <conditionalFormatting sqref="E32:N36">
    <cfRule type="expression" dxfId="72" priority="17">
      <formula>IF(E$30&gt;$F$28,1,0)</formula>
    </cfRule>
  </conditionalFormatting>
  <conditionalFormatting sqref="H11 H8:H9">
    <cfRule type="expression" dxfId="71" priority="16">
      <formula>IF($F$9=1,1,0)</formula>
    </cfRule>
  </conditionalFormatting>
  <conditionalFormatting sqref="E55:N55">
    <cfRule type="expression" dxfId="70" priority="15">
      <formula>IF(E$54&gt;$F$52,1,0)</formula>
    </cfRule>
  </conditionalFormatting>
  <conditionalFormatting sqref="E31:N31">
    <cfRule type="expression" dxfId="69" priority="14">
      <formula>IF(E$30&gt;$F$28,1,0)</formula>
    </cfRule>
  </conditionalFormatting>
  <conditionalFormatting sqref="E70:N70">
    <cfRule type="expression" dxfId="68" priority="13">
      <formula>IF(E$64&lt;=$F$62,1,0)</formula>
    </cfRule>
  </conditionalFormatting>
  <conditionalFormatting sqref="H10">
    <cfRule type="expression" dxfId="67" priority="12">
      <formula>IF($F$9=1,1,0)</formula>
    </cfRule>
  </conditionalFormatting>
  <conditionalFormatting sqref="E69:N69">
    <cfRule type="expression" dxfId="66" priority="9">
      <formula>IF(E$64&lt;=$F$62,1,0)</formula>
    </cfRule>
  </conditionalFormatting>
  <conditionalFormatting sqref="E69:N69">
    <cfRule type="expression" dxfId="65" priority="8">
      <formula>IF(E$64&gt;$F$62,1,0)</formula>
    </cfRule>
  </conditionalFormatting>
  <conditionalFormatting sqref="E24">
    <cfRule type="expression" dxfId="13" priority="7">
      <formula>IF(E$20&lt;=$F$18,1,0)</formula>
    </cfRule>
  </conditionalFormatting>
  <conditionalFormatting sqref="E24">
    <cfRule type="expression" dxfId="11" priority="6">
      <formula>IF(E$20&gt;$F$18,1,0)</formula>
    </cfRule>
  </conditionalFormatting>
  <conditionalFormatting sqref="E25">
    <cfRule type="expression" dxfId="9" priority="5">
      <formula>IF(E$20&lt;=$F$18,1,0)</formula>
    </cfRule>
  </conditionalFormatting>
  <conditionalFormatting sqref="E25">
    <cfRule type="expression" dxfId="7" priority="4">
      <formula>IF(E$20&gt;$F$18,1,0)</formula>
    </cfRule>
  </conditionalFormatting>
  <conditionalFormatting sqref="E26">
    <cfRule type="expression" dxfId="5" priority="3">
      <formula>IF(E$20&lt;=$F$18,1,0)</formula>
    </cfRule>
  </conditionalFormatting>
  <conditionalFormatting sqref="E26">
    <cfRule type="expression" dxfId="3" priority="2">
      <formula>IF(E$20&lt;=$F$18,1,0)</formula>
    </cfRule>
  </conditionalFormatting>
  <conditionalFormatting sqref="E26">
    <cfRule type="expression" dxfId="1" priority="1">
      <formula>IF(E$20&gt;$F$18,1,0)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 F26:N26 E56:N60 E22:F22 I22:N22 F52 F62 G24:N24 G70:N70 E32:E33 E69:N69 F25:N25 I36:N36 I32:N3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541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SWE Netz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SWE Netz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9870045600003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43374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497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520</v>
      </c>
      <c r="D9" s="129"/>
      <c r="E9" s="129"/>
      <c r="F9" s="153">
        <f>'SLP-Verfahren'!D46</f>
        <v>1</v>
      </c>
      <c r="H9" s="171" t="s">
        <v>598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582</v>
      </c>
      <c r="D10" s="129"/>
      <c r="E10" s="129"/>
      <c r="F10" s="49">
        <v>2</v>
      </c>
      <c r="G10" s="57"/>
      <c r="H10" s="171" t="s">
        <v>599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600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581</v>
      </c>
      <c r="D13" s="342"/>
      <c r="E13" s="342"/>
      <c r="F13" s="181" t="s">
        <v>545</v>
      </c>
      <c r="G13" s="129" t="s">
        <v>543</v>
      </c>
      <c r="H13" s="261" t="s">
        <v>560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569</v>
      </c>
      <c r="H14" s="51">
        <v>0</v>
      </c>
      <c r="I14" s="57"/>
      <c r="J14" s="129"/>
      <c r="K14" s="129"/>
      <c r="L14" s="129"/>
      <c r="M14" s="129"/>
      <c r="N14" s="129"/>
      <c r="O14" s="332" t="s">
        <v>648</v>
      </c>
      <c r="R14" s="207" t="s">
        <v>561</v>
      </c>
      <c r="S14" s="207" t="s">
        <v>562</v>
      </c>
      <c r="T14" s="207" t="s">
        <v>563</v>
      </c>
      <c r="U14" s="207" t="s">
        <v>564</v>
      </c>
      <c r="V14" s="207" t="s">
        <v>544</v>
      </c>
      <c r="W14" s="207" t="s">
        <v>565</v>
      </c>
      <c r="X14" s="207" t="s">
        <v>566</v>
      </c>
      <c r="Y14" s="207" t="s">
        <v>567</v>
      </c>
      <c r="Z14" s="207" t="s">
        <v>568</v>
      </c>
      <c r="AA14" s="207" t="s">
        <v>569</v>
      </c>
      <c r="AB14" s="207" t="s">
        <v>570</v>
      </c>
      <c r="AC14" s="207" t="s">
        <v>571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563</v>
      </c>
      <c r="H15" s="51">
        <v>0</v>
      </c>
      <c r="I15" s="57"/>
      <c r="J15" s="129"/>
      <c r="K15" s="129"/>
      <c r="L15" s="129"/>
      <c r="M15" s="129"/>
      <c r="N15" s="129"/>
      <c r="O15" s="160" t="s">
        <v>525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546</v>
      </c>
      <c r="AJ15" s="260" t="s">
        <v>547</v>
      </c>
      <c r="AK15" s="260" t="s">
        <v>548</v>
      </c>
      <c r="AL15" s="260" t="s">
        <v>549</v>
      </c>
      <c r="AM15" s="260" t="s">
        <v>550</v>
      </c>
      <c r="AN15" s="260" t="s">
        <v>551</v>
      </c>
      <c r="AO15" s="260" t="s">
        <v>552</v>
      </c>
      <c r="AP15" s="260" t="s">
        <v>553</v>
      </c>
      <c r="AQ15" s="260" t="s">
        <v>554</v>
      </c>
      <c r="AR15" s="260" t="s">
        <v>555</v>
      </c>
      <c r="AS15" s="260" t="s">
        <v>556</v>
      </c>
      <c r="AT15" s="260" t="s">
        <v>557</v>
      </c>
      <c r="AU15" s="260" t="s">
        <v>558</v>
      </c>
      <c r="AV15" s="260" t="s">
        <v>559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515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521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516</v>
      </c>
      <c r="D20" s="178" t="s">
        <v>511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523</v>
      </c>
      <c r="D21" s="152" t="s">
        <v>513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534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518</v>
      </c>
      <c r="D24" s="186"/>
      <c r="E24" s="155" t="s">
        <v>578</v>
      </c>
      <c r="F24" s="155" t="s">
        <v>579</v>
      </c>
      <c r="G24" s="155"/>
      <c r="H24" s="155"/>
      <c r="I24" s="155"/>
      <c r="J24" s="155"/>
      <c r="K24" s="155"/>
      <c r="L24" s="155"/>
      <c r="M24" s="155"/>
      <c r="N24" s="155"/>
      <c r="O24" s="183" t="s">
        <v>519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512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517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524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530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509</v>
      </c>
      <c r="S34" s="67" t="s">
        <v>510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602</v>
      </c>
      <c r="D35" s="152" t="s">
        <v>603</v>
      </c>
      <c r="E35" s="155" t="s">
        <v>601</v>
      </c>
      <c r="F35" s="155" t="s">
        <v>601</v>
      </c>
      <c r="G35" s="155" t="s">
        <v>601</v>
      </c>
      <c r="H35" s="155" t="s">
        <v>601</v>
      </c>
      <c r="I35" s="155" t="s">
        <v>601</v>
      </c>
      <c r="J35" s="155" t="s">
        <v>601</v>
      </c>
      <c r="K35" s="155" t="s">
        <v>601</v>
      </c>
      <c r="L35" s="155" t="s">
        <v>601</v>
      </c>
      <c r="M35" s="155" t="s">
        <v>601</v>
      </c>
      <c r="N35" s="155" t="s">
        <v>601</v>
      </c>
      <c r="O35" s="183" t="s">
        <v>142</v>
      </c>
      <c r="Q35" s="209"/>
      <c r="R35" s="67" t="s">
        <v>601</v>
      </c>
      <c r="S35" s="67" t="s">
        <v>604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535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528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529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522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526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527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532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533</v>
      </c>
      <c r="D46" s="199" t="s">
        <v>531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531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576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540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516</v>
      </c>
      <c r="D54" s="178" t="s">
        <v>511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523</v>
      </c>
      <c r="D55" s="152" t="s">
        <v>513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534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518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519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512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517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524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530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602</v>
      </c>
      <c r="D69" s="152" t="s">
        <v>603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535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577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64" priority="18">
      <formula>IF(E$20&lt;=$F$18,1,0)</formula>
    </cfRule>
  </conditionalFormatting>
  <conditionalFormatting sqref="E32:N36">
    <cfRule type="expression" dxfId="63" priority="17">
      <formula>IF(E$30&lt;=$F$28,1,0)</formula>
    </cfRule>
  </conditionalFormatting>
  <conditionalFormatting sqref="E26:F26">
    <cfRule type="expression" dxfId="62" priority="16">
      <formula>IF(E$20&lt;=$F$18,1,0)</formula>
    </cfRule>
  </conditionalFormatting>
  <conditionalFormatting sqref="E26:N26">
    <cfRule type="expression" dxfId="61" priority="15">
      <formula>IF(E$20&lt;=$F$18,1,0)</formula>
    </cfRule>
  </conditionalFormatting>
  <conditionalFormatting sqref="E56:N59">
    <cfRule type="expression" dxfId="60" priority="14">
      <formula>IF(E$54&lt;=$F$52,1,0)</formula>
    </cfRule>
  </conditionalFormatting>
  <conditionalFormatting sqref="E60:N60">
    <cfRule type="expression" dxfId="59" priority="13">
      <formula>IF(E$54&lt;=$F$52,1,0)</formula>
    </cfRule>
  </conditionalFormatting>
  <conditionalFormatting sqref="E66:N68">
    <cfRule type="expression" dxfId="58" priority="12">
      <formula>IF(E$64&lt;=$F$62,1,0)</formula>
    </cfRule>
  </conditionalFormatting>
  <conditionalFormatting sqref="E65:N68 E70:N70">
    <cfRule type="expression" dxfId="57" priority="11">
      <formula>IF(E$64&gt;$F$62,1,0)</formula>
    </cfRule>
  </conditionalFormatting>
  <conditionalFormatting sqref="E56:N60">
    <cfRule type="expression" dxfId="56" priority="10">
      <formula>IF(E$54&gt;$F$52,1,0)</formula>
    </cfRule>
  </conditionalFormatting>
  <conditionalFormatting sqref="E21:N26">
    <cfRule type="expression" dxfId="55" priority="9">
      <formula>IF(E$20&gt;$F$18,1,0)</formula>
    </cfRule>
  </conditionalFormatting>
  <conditionalFormatting sqref="E32:N36">
    <cfRule type="expression" dxfId="54" priority="8">
      <formula>IF(E$30&gt;$F$28,1,0)</formula>
    </cfRule>
  </conditionalFormatting>
  <conditionalFormatting sqref="H11 H8:H9">
    <cfRule type="expression" dxfId="53" priority="7">
      <formula>IF($F$9=1,1,0)</formula>
    </cfRule>
  </conditionalFormatting>
  <conditionalFormatting sqref="E55:N55">
    <cfRule type="expression" dxfId="52" priority="6">
      <formula>IF(E$54&gt;$F$52,1,0)</formula>
    </cfRule>
  </conditionalFormatting>
  <conditionalFormatting sqref="E31:N31">
    <cfRule type="expression" dxfId="51" priority="5">
      <formula>IF(E$30&gt;$F$28,1,0)</formula>
    </cfRule>
  </conditionalFormatting>
  <conditionalFormatting sqref="E70:N70">
    <cfRule type="expression" dxfId="50" priority="4">
      <formula>IF(E$64&lt;=$F$62,1,0)</formula>
    </cfRule>
  </conditionalFormatting>
  <conditionalFormatting sqref="H10">
    <cfRule type="expression" dxfId="49" priority="3">
      <formula>IF($F$9=1,1,0)</formula>
    </cfRule>
  </conditionalFormatting>
  <conditionalFormatting sqref="E69:N69">
    <cfRule type="expression" dxfId="48" priority="2">
      <formula>IF(E$64&lt;=$F$62,1,0)</formula>
    </cfRule>
  </conditionalFormatting>
  <conditionalFormatting sqref="E69:N69">
    <cfRule type="expression" dxfId="47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A30" sqref="A30:XFD30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SWE Netz GmbH</v>
      </c>
      <c r="E5" s="129"/>
      <c r="J5" s="88" t="s">
        <v>497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SWE Netz GmbH</v>
      </c>
      <c r="E6" s="129"/>
      <c r="F6" s="129"/>
      <c r="K6" s="130" t="s">
        <v>506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9870045600003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43374</v>
      </c>
      <c r="E8" s="129"/>
      <c r="F8" s="129"/>
      <c r="H8" s="127" t="s">
        <v>495</v>
      </c>
      <c r="J8" s="131">
        <f>COUNTA(D12:D100)</f>
        <v>19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508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632</v>
      </c>
      <c r="M10" s="149" t="s">
        <v>641</v>
      </c>
      <c r="N10" s="150" t="s">
        <v>642</v>
      </c>
      <c r="O10" s="150" t="s">
        <v>643</v>
      </c>
      <c r="P10" s="151" t="s">
        <v>644</v>
      </c>
      <c r="Q10" s="145" t="s">
        <v>633</v>
      </c>
      <c r="R10" s="135" t="s">
        <v>634</v>
      </c>
      <c r="S10" s="136" t="s">
        <v>635</v>
      </c>
      <c r="T10" s="136" t="s">
        <v>636</v>
      </c>
      <c r="U10" s="136" t="s">
        <v>637</v>
      </c>
      <c r="V10" s="136" t="s">
        <v>638</v>
      </c>
      <c r="W10" s="136" t="s">
        <v>639</v>
      </c>
      <c r="X10" s="137" t="s">
        <v>640</v>
      </c>
      <c r="Y10" s="294" t="s">
        <v>645</v>
      </c>
    </row>
    <row r="11" spans="2:26" ht="15.75" thickBot="1">
      <c r="B11" s="138" t="s">
        <v>496</v>
      </c>
      <c r="C11" s="139" t="s">
        <v>507</v>
      </c>
      <c r="D11" s="293" t="s">
        <v>247</v>
      </c>
      <c r="E11" s="163" t="s">
        <v>514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SWE Netz GmbH</v>
      </c>
      <c r="D12" s="62" t="s">
        <v>247</v>
      </c>
      <c r="E12" s="164" t="s">
        <v>667</v>
      </c>
      <c r="F12" s="296" t="str">
        <f>VLOOKUP($E12,'BDEW-Standard'!$B$3:$M$158,F$9,0)</f>
        <v>D14</v>
      </c>
      <c r="H12" s="273">
        <f>ROUND(VLOOKUP($E12,'BDEW-Standard'!$B$3:$M$158,H$9,0),7)</f>
        <v>3.1850190999999999</v>
      </c>
      <c r="I12" s="273">
        <f>ROUND(VLOOKUP($E12,'BDEW-Standard'!$B$3:$M$158,I$9,0),7)</f>
        <v>-37.412415500000002</v>
      </c>
      <c r="J12" s="273">
        <f>ROUND(VLOOKUP($E12,'BDEW-Standard'!$B$3:$M$158,J$9,0),7)</f>
        <v>6.1723179000000004</v>
      </c>
      <c r="K12" s="273">
        <f>ROUND(VLOOKUP($E12,'BDEW-Standard'!$B$3:$M$158,K$9,0),7)</f>
        <v>7.6109599999999999E-2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30" si="1">($H12/(1+($I12/($Q$9-$L12))^$J12)+$K12)+MAX($M12*$Q$9+$N12,$O12*$Q$9+$P12)</f>
        <v>0.95508749343949439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SWE Netz GmbH</v>
      </c>
      <c r="D13" s="62" t="s">
        <v>247</v>
      </c>
      <c r="E13" s="164" t="s">
        <v>668</v>
      </c>
      <c r="F13" s="296" t="str">
        <f>VLOOKUP($E13,'BDEW-Standard'!$B$3:$M$158,F$9,0)</f>
        <v>D24</v>
      </c>
      <c r="H13" s="273">
        <f>ROUND(VLOOKUP($E13,'BDEW-Standard'!$B$3:$M$158,H$9,0),7)</f>
        <v>2.5187775000000001</v>
      </c>
      <c r="I13" s="273">
        <f>ROUND(VLOOKUP($E13,'BDEW-Standard'!$B$3:$M$158,I$9,0),7)</f>
        <v>-35.033375399999997</v>
      </c>
      <c r="J13" s="273">
        <f>ROUND(VLOOKUP($E13,'BDEW-Standard'!$B$3:$M$158,J$9,0),7)</f>
        <v>6.2240634000000004</v>
      </c>
      <c r="K13" s="273">
        <f>ROUND(VLOOKUP($E13,'BDEW-Standard'!$B$3:$M$158,K$9,0),7)</f>
        <v>0.10107820000000001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1.0146273685996503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6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SWE Netz GmbH</v>
      </c>
      <c r="D14" s="62" t="s">
        <v>247</v>
      </c>
      <c r="E14" s="164" t="s">
        <v>671</v>
      </c>
      <c r="F14" s="296" t="str">
        <f>VLOOKUP($E14,'BDEW-Standard'!$B$3:$M$158,F$9,0)</f>
        <v>KO4</v>
      </c>
      <c r="H14" s="273">
        <f>ROUND(VLOOKUP($E14,'BDEW-Standard'!$B$3:$M$158,H$9,0),7)</f>
        <v>3.4428942999999999</v>
      </c>
      <c r="I14" s="273">
        <f>ROUND(VLOOKUP($E14,'BDEW-Standard'!$B$3:$M$158,I$9,0),7)</f>
        <v>-36.659050399999998</v>
      </c>
      <c r="J14" s="273">
        <f>ROUND(VLOOKUP($E14,'BDEW-Standard'!$B$3:$M$158,J$9,0),7)</f>
        <v>7.6083226000000002</v>
      </c>
      <c r="K14" s="273">
        <f>ROUND(VLOOKUP($E14,'BDEW-Standard'!$B$3:$M$158,K$9,0),7)</f>
        <v>7.4685000000000001E-2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0.97768382110526542</v>
      </c>
      <c r="R14" s="274">
        <f>ROUND(VLOOKUP(MID($E14,4,3),'Wochentag F(WT)'!$B$7:$J$22,R$9,0),4)</f>
        <v>1.0354000000000001</v>
      </c>
      <c r="S14" s="274">
        <f>ROUND(VLOOKUP(MID($E14,4,3),'Wochentag F(WT)'!$B$7:$J$22,S$9,0),4)</f>
        <v>1.0523</v>
      </c>
      <c r="T14" s="274">
        <f>ROUND(VLOOKUP(MID($E14,4,3),'Wochentag F(WT)'!$B$7:$J$22,T$9,0),4)</f>
        <v>1.0448999999999999</v>
      </c>
      <c r="U14" s="274">
        <f>ROUND(VLOOKUP(MID($E14,4,3),'Wochentag F(WT)'!$B$7:$J$22,U$9,0),4)</f>
        <v>1.0494000000000001</v>
      </c>
      <c r="V14" s="274">
        <f>ROUND(VLOOKUP(MID($E14,4,3),'Wochentag F(WT)'!$B$7:$J$22,V$9,0),4)</f>
        <v>0.98850000000000005</v>
      </c>
      <c r="W14" s="274">
        <f>ROUND(VLOOKUP(MID($E14,4,3),'Wochentag F(WT)'!$B$7:$J$22,W$9,0),4)</f>
        <v>0.88600000000000001</v>
      </c>
      <c r="X14" s="275">
        <f t="shared" si="2"/>
        <v>0.94349999999999934</v>
      </c>
      <c r="Y14" s="292"/>
      <c r="Z14" s="210"/>
    </row>
    <row r="15" spans="2:26" s="142" customFormat="1">
      <c r="B15" s="143">
        <v>4</v>
      </c>
      <c r="C15" s="144" t="str">
        <f t="shared" si="0"/>
        <v>SWE Netz GmbH</v>
      </c>
      <c r="D15" s="62" t="s">
        <v>247</v>
      </c>
      <c r="E15" s="164" t="s">
        <v>672</v>
      </c>
      <c r="F15" s="296" t="str">
        <f>VLOOKUP($E15,'BDEW-Standard'!$B$3:$M$158,F$9,0)</f>
        <v>BD4</v>
      </c>
      <c r="H15" s="273">
        <f>ROUND(VLOOKUP($E15,'BDEW-Standard'!$B$3:$M$158,H$9,0),7)</f>
        <v>3.75</v>
      </c>
      <c r="I15" s="273">
        <f>ROUND(VLOOKUP($E15,'BDEW-Standard'!$B$3:$M$158,I$9,0),7)</f>
        <v>-37.5</v>
      </c>
      <c r="J15" s="273">
        <f>ROUND(VLOOKUP($E15,'BDEW-Standard'!$B$3:$M$158,J$9,0),7)</f>
        <v>6.8</v>
      </c>
      <c r="K15" s="273">
        <f>ROUND(VLOOKUP($E15,'BDEW-Standard'!$B$3:$M$158,K$9,0),7)</f>
        <v>6.0911300000000002E-2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1.0126136468627658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2" customFormat="1">
      <c r="B16" s="143">
        <v>5</v>
      </c>
      <c r="C16" s="144" t="str">
        <f t="shared" si="0"/>
        <v>SWE Netz GmbH</v>
      </c>
      <c r="D16" s="62" t="s">
        <v>247</v>
      </c>
      <c r="E16" s="164" t="s">
        <v>673</v>
      </c>
      <c r="F16" s="296" t="str">
        <f>VLOOKUP($E16,'BDEW-Standard'!$B$3:$M$158,F$9,0)</f>
        <v>HA4</v>
      </c>
      <c r="H16" s="273">
        <f>ROUND(VLOOKUP($E16,'BDEW-Standard'!$B$3:$M$158,H$9,0),7)</f>
        <v>4.0196902000000003</v>
      </c>
      <c r="I16" s="273">
        <f>ROUND(VLOOKUP($E16,'BDEW-Standard'!$B$3:$M$158,I$9,0),7)</f>
        <v>-37.828203700000003</v>
      </c>
      <c r="J16" s="273">
        <f>ROUND(VLOOKUP($E16,'BDEW-Standard'!$B$3:$M$158,J$9,0),7)</f>
        <v>8.1593368999999996</v>
      </c>
      <c r="K16" s="273">
        <f>ROUND(VLOOKUP($E16,'BDEW-Standard'!$B$3:$M$158,K$9,0),7)</f>
        <v>4.72845E-2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0.86486713303260787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SWE Netz GmbH</v>
      </c>
      <c r="D17" s="62" t="s">
        <v>247</v>
      </c>
      <c r="E17" s="164" t="s">
        <v>674</v>
      </c>
      <c r="F17" s="296" t="str">
        <f>VLOOKUP($E17,'BDEW-Standard'!$B$3:$M$158,F$9,0)</f>
        <v>BA4</v>
      </c>
      <c r="H17" s="273">
        <f>ROUND(VLOOKUP($E17,'BDEW-Standard'!$B$3:$M$158,H$9,0),7)</f>
        <v>0.93158890000000005</v>
      </c>
      <c r="I17" s="273">
        <f>ROUND(VLOOKUP($E17,'BDEW-Standard'!$B$3:$M$158,I$9,0),7)</f>
        <v>-33.35</v>
      </c>
      <c r="J17" s="273">
        <f>ROUND(VLOOKUP($E17,'BDEW-Standard'!$B$3:$M$158,J$9,0),7)</f>
        <v>5.7212303000000002</v>
      </c>
      <c r="K17" s="273">
        <f>ROUND(VLOOKUP($E17,'BDEW-Standard'!$B$3:$M$158,K$9,0),7)</f>
        <v>0.66564939999999995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1.0766391850538448</v>
      </c>
      <c r="R17" s="274">
        <f>ROUND(VLOOKUP(MID($E17,4,3),'Wochentag F(WT)'!$B$7:$J$22,R$9,0),4)</f>
        <v>1.0848</v>
      </c>
      <c r="S17" s="274">
        <f>ROUND(VLOOKUP(MID($E17,4,3),'Wochentag F(WT)'!$B$7:$J$22,S$9,0),4)</f>
        <v>1.1211</v>
      </c>
      <c r="T17" s="274">
        <f>ROUND(VLOOKUP(MID($E17,4,3),'Wochentag F(WT)'!$B$7:$J$22,T$9,0),4)</f>
        <v>1.0769</v>
      </c>
      <c r="U17" s="274">
        <f>ROUND(VLOOKUP(MID($E17,4,3),'Wochentag F(WT)'!$B$7:$J$22,U$9,0),4)</f>
        <v>1.1353</v>
      </c>
      <c r="V17" s="274">
        <f>ROUND(VLOOKUP(MID($E17,4,3),'Wochentag F(WT)'!$B$7:$J$22,V$9,0),4)</f>
        <v>1.1402000000000001</v>
      </c>
      <c r="W17" s="274">
        <f>ROUND(VLOOKUP(MID($E17,4,3),'Wochentag F(WT)'!$B$7:$J$22,W$9,0),4)</f>
        <v>0.48520000000000002</v>
      </c>
      <c r="X17" s="275">
        <f t="shared" si="2"/>
        <v>0.95650000000000013</v>
      </c>
      <c r="Y17" s="292"/>
      <c r="Z17" s="210"/>
    </row>
    <row r="18" spans="2:26" s="142" customFormat="1">
      <c r="B18" s="143">
        <v>7</v>
      </c>
      <c r="C18" s="144" t="str">
        <f t="shared" si="0"/>
        <v>SWE Netz GmbH</v>
      </c>
      <c r="D18" s="62" t="s">
        <v>247</v>
      </c>
      <c r="E18" s="164" t="s">
        <v>675</v>
      </c>
      <c r="F18" s="296" t="str">
        <f>VLOOKUP($E18,'BDEW-Standard'!$B$3:$M$158,F$9,0)</f>
        <v>GA4</v>
      </c>
      <c r="H18" s="273">
        <f>ROUND(VLOOKUP($E18,'BDEW-Standard'!$B$3:$M$158,H$9,0),7)</f>
        <v>2.8195655999999998</v>
      </c>
      <c r="I18" s="273">
        <f>ROUND(VLOOKUP($E18,'BDEW-Standard'!$B$3:$M$158,I$9,0),7)</f>
        <v>-36</v>
      </c>
      <c r="J18" s="273">
        <f>ROUND(VLOOKUP($E18,'BDEW-Standard'!$B$3:$M$158,J$9,0),7)</f>
        <v>7.7368518000000002</v>
      </c>
      <c r="K18" s="273">
        <f>ROUND(VLOOKUP($E18,'BDEW-Standard'!$B$3:$M$158,K$9,0),7)</f>
        <v>0.157281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0.96576337685759206</v>
      </c>
      <c r="R18" s="274">
        <f>ROUND(VLOOKUP(MID($E18,4,3),'Wochentag F(WT)'!$B$7:$J$22,R$9,0),4)</f>
        <v>0.93220000000000003</v>
      </c>
      <c r="S18" s="274">
        <f>ROUND(VLOOKUP(MID($E18,4,3),'Wochentag F(WT)'!$B$7:$J$22,S$9,0),4)</f>
        <v>0.98939999999999995</v>
      </c>
      <c r="T18" s="274">
        <f>ROUND(VLOOKUP(MID($E18,4,3),'Wochentag F(WT)'!$B$7:$J$22,T$9,0),4)</f>
        <v>1.0033000000000001</v>
      </c>
      <c r="U18" s="274">
        <f>ROUND(VLOOKUP(MID($E18,4,3),'Wochentag F(WT)'!$B$7:$J$22,U$9,0),4)</f>
        <v>1.0108999999999999</v>
      </c>
      <c r="V18" s="274">
        <f>ROUND(VLOOKUP(MID($E18,4,3),'Wochentag F(WT)'!$B$7:$J$22,V$9,0),4)</f>
        <v>1.018</v>
      </c>
      <c r="W18" s="274">
        <f>ROUND(VLOOKUP(MID($E18,4,3),'Wochentag F(WT)'!$B$7:$J$22,W$9,0),4)</f>
        <v>1.0356000000000001</v>
      </c>
      <c r="X18" s="275">
        <f t="shared" si="2"/>
        <v>1.0106000000000002</v>
      </c>
      <c r="Y18" s="292"/>
      <c r="Z18" s="210"/>
    </row>
    <row r="19" spans="2:26" s="142" customFormat="1">
      <c r="B19" s="143">
        <v>8</v>
      </c>
      <c r="C19" s="144" t="str">
        <f t="shared" si="0"/>
        <v>SWE Netz GmbH</v>
      </c>
      <c r="D19" s="62" t="s">
        <v>247</v>
      </c>
      <c r="E19" s="164" t="s">
        <v>676</v>
      </c>
      <c r="F19" s="296" t="str">
        <f>VLOOKUP($E19,'BDEW-Standard'!$B$3:$M$158,F$9,0)</f>
        <v>MK4</v>
      </c>
      <c r="H19" s="273">
        <f>ROUND(VLOOKUP($E19,'BDEW-Standard'!$B$3:$M$158,H$9,0),7)</f>
        <v>3.1177248</v>
      </c>
      <c r="I19" s="273">
        <f>ROUND(VLOOKUP($E19,'BDEW-Standard'!$B$3:$M$158,I$9,0),7)</f>
        <v>-35.871506199999999</v>
      </c>
      <c r="J19" s="273">
        <f>ROUND(VLOOKUP($E19,'BDEW-Standard'!$B$3:$M$158,J$9,0),7)</f>
        <v>7.5186828999999999</v>
      </c>
      <c r="K19" s="273">
        <f>ROUND(VLOOKUP($E19,'BDEW-Standard'!$B$3:$M$158,K$9,0),7)</f>
        <v>3.4330100000000002E-2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0.9622064996731321</v>
      </c>
      <c r="R19" s="274">
        <f>ROUND(VLOOKUP(MID($E19,4,3),'Wochentag F(WT)'!$B$7:$J$22,R$9,0),4)</f>
        <v>1.0699000000000001</v>
      </c>
      <c r="S19" s="274">
        <f>ROUND(VLOOKUP(MID($E19,4,3),'Wochentag F(WT)'!$B$7:$J$22,S$9,0),4)</f>
        <v>1.0365</v>
      </c>
      <c r="T19" s="274">
        <f>ROUND(VLOOKUP(MID($E19,4,3),'Wochentag F(WT)'!$B$7:$J$22,T$9,0),4)</f>
        <v>0.99329999999999996</v>
      </c>
      <c r="U19" s="274">
        <f>ROUND(VLOOKUP(MID($E19,4,3),'Wochentag F(WT)'!$B$7:$J$22,U$9,0),4)</f>
        <v>0.99480000000000002</v>
      </c>
      <c r="V19" s="274">
        <f>ROUND(VLOOKUP(MID($E19,4,3),'Wochentag F(WT)'!$B$7:$J$22,V$9,0),4)</f>
        <v>1.0659000000000001</v>
      </c>
      <c r="W19" s="274">
        <f>ROUND(VLOOKUP(MID($E19,4,3),'Wochentag F(WT)'!$B$7:$J$22,W$9,0),4)</f>
        <v>0.93620000000000003</v>
      </c>
      <c r="X19" s="275">
        <f t="shared" si="2"/>
        <v>0.90339999999999954</v>
      </c>
      <c r="Y19" s="292"/>
      <c r="Z19" s="210"/>
    </row>
    <row r="20" spans="2:26" s="142" customFormat="1">
      <c r="B20" s="143">
        <v>9</v>
      </c>
      <c r="C20" s="144" t="str">
        <f t="shared" si="0"/>
        <v>SWE Netz GmbH</v>
      </c>
      <c r="D20" s="62" t="s">
        <v>247</v>
      </c>
      <c r="E20" s="164" t="s">
        <v>677</v>
      </c>
      <c r="F20" s="296" t="str">
        <f>VLOOKUP($E20,'BDEW-Standard'!$B$3:$M$158,F$9,0)</f>
        <v>GB4</v>
      </c>
      <c r="H20" s="273">
        <f>ROUND(VLOOKUP($E20,'BDEW-Standard'!$B$3:$M$158,H$9,0),7)</f>
        <v>3.6017736</v>
      </c>
      <c r="I20" s="273">
        <f>ROUND(VLOOKUP($E20,'BDEW-Standard'!$B$3:$M$158,I$9,0),7)</f>
        <v>-37.882536799999997</v>
      </c>
      <c r="J20" s="273">
        <f>ROUND(VLOOKUP($E20,'BDEW-Standard'!$B$3:$M$158,J$9,0),7)</f>
        <v>6.9836070000000001</v>
      </c>
      <c r="K20" s="273">
        <f>ROUND(VLOOKUP($E20,'BDEW-Standard'!$B$3:$M$158,K$9,0),7)</f>
        <v>5.4826199999999999E-2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0.90239375975311864</v>
      </c>
      <c r="R20" s="274">
        <f>ROUND(VLOOKUP(MID($E20,4,3),'Wochentag F(WT)'!$B$7:$J$22,R$9,0),4)</f>
        <v>0.98970000000000002</v>
      </c>
      <c r="S20" s="274">
        <f>ROUND(VLOOKUP(MID($E20,4,3),'Wochentag F(WT)'!$B$7:$J$22,S$9,0),4)</f>
        <v>0.9627</v>
      </c>
      <c r="T20" s="274">
        <f>ROUND(VLOOKUP(MID($E20,4,3),'Wochentag F(WT)'!$B$7:$J$22,T$9,0),4)</f>
        <v>1.0507</v>
      </c>
      <c r="U20" s="274">
        <f>ROUND(VLOOKUP(MID($E20,4,3),'Wochentag F(WT)'!$B$7:$J$22,U$9,0),4)</f>
        <v>1.0551999999999999</v>
      </c>
      <c r="V20" s="274">
        <f>ROUND(VLOOKUP(MID($E20,4,3),'Wochentag F(WT)'!$B$7:$J$22,V$9,0),4)</f>
        <v>1.0297000000000001</v>
      </c>
      <c r="W20" s="274">
        <f>ROUND(VLOOKUP(MID($E20,4,3),'Wochentag F(WT)'!$B$7:$J$22,W$9,0),4)</f>
        <v>0.97670000000000001</v>
      </c>
      <c r="X20" s="275">
        <f t="shared" si="2"/>
        <v>0.9352999999999998</v>
      </c>
      <c r="Y20" s="292"/>
      <c r="Z20" s="210"/>
    </row>
    <row r="21" spans="2:26" s="142" customFormat="1">
      <c r="B21" s="143">
        <v>10</v>
      </c>
      <c r="C21" s="144" t="str">
        <f t="shared" si="0"/>
        <v>SWE Netz GmbH</v>
      </c>
      <c r="D21" s="62" t="s">
        <v>247</v>
      </c>
      <c r="E21" s="164" t="s">
        <v>678</v>
      </c>
      <c r="F21" s="296" t="str">
        <f>VLOOKUP($E21,'BDEW-Standard'!$B$3:$M$158,F$9,0)</f>
        <v>BH4</v>
      </c>
      <c r="H21" s="273">
        <f>ROUND(VLOOKUP($E21,'BDEW-Standard'!$B$3:$M$158,H$9,0),7)</f>
        <v>2.4595180999999999</v>
      </c>
      <c r="I21" s="273">
        <f>ROUND(VLOOKUP($E21,'BDEW-Standard'!$B$3:$M$158,I$9,0),7)</f>
        <v>-35.253212400000002</v>
      </c>
      <c r="J21" s="273">
        <f>ROUND(VLOOKUP($E21,'BDEW-Standard'!$B$3:$M$158,J$9,0),7)</f>
        <v>6.0587001000000003</v>
      </c>
      <c r="K21" s="273">
        <f>ROUND(VLOOKUP($E21,'BDEW-Standard'!$B$3:$M$158,K$9,0),7)</f>
        <v>0.16473699999999999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1.043802057143173</v>
      </c>
      <c r="R21" s="274">
        <f>ROUND(VLOOKUP(MID($E21,4,3),'Wochentag F(WT)'!$B$7:$J$22,R$9,0),4)</f>
        <v>0.97670000000000001</v>
      </c>
      <c r="S21" s="274">
        <f>ROUND(VLOOKUP(MID($E21,4,3),'Wochentag F(WT)'!$B$7:$J$22,S$9,0),4)</f>
        <v>1.0388999999999999</v>
      </c>
      <c r="T21" s="274">
        <f>ROUND(VLOOKUP(MID($E21,4,3),'Wochentag F(WT)'!$B$7:$J$22,T$9,0),4)</f>
        <v>1.0027999999999999</v>
      </c>
      <c r="U21" s="274">
        <f>ROUND(VLOOKUP(MID($E21,4,3),'Wochentag F(WT)'!$B$7:$J$22,U$9,0),4)</f>
        <v>1.0162</v>
      </c>
      <c r="V21" s="274">
        <f>ROUND(VLOOKUP(MID($E21,4,3),'Wochentag F(WT)'!$B$7:$J$22,V$9,0),4)</f>
        <v>1.0024</v>
      </c>
      <c r="W21" s="274">
        <f>ROUND(VLOOKUP(MID($E21,4,3),'Wochentag F(WT)'!$B$7:$J$22,W$9,0),4)</f>
        <v>1.0043</v>
      </c>
      <c r="X21" s="275">
        <f t="shared" si="2"/>
        <v>0.95870000000000122</v>
      </c>
      <c r="Y21" s="292"/>
      <c r="Z21" s="210"/>
    </row>
    <row r="22" spans="2:26" s="142" customFormat="1">
      <c r="B22" s="143">
        <v>11</v>
      </c>
      <c r="C22" s="144" t="str">
        <f t="shared" si="0"/>
        <v>SWE Netz GmbH</v>
      </c>
      <c r="D22" s="62" t="s">
        <v>247</v>
      </c>
      <c r="E22" s="164" t="s">
        <v>679</v>
      </c>
      <c r="F22" s="296" t="str">
        <f>VLOOKUP($E22,'BDEW-Standard'!$B$3:$M$158,F$9,0)</f>
        <v>PD4</v>
      </c>
      <c r="H22" s="273">
        <f>ROUND(VLOOKUP($E22,'BDEW-Standard'!$B$3:$M$158,H$9,0),7)</f>
        <v>3.85</v>
      </c>
      <c r="I22" s="273">
        <f>ROUND(VLOOKUP($E22,'BDEW-Standard'!$B$3:$M$158,I$9,0),7)</f>
        <v>-37</v>
      </c>
      <c r="J22" s="273">
        <f>ROUND(VLOOKUP($E22,'BDEW-Standard'!$B$3:$M$158,J$9,0),7)</f>
        <v>10.2405021</v>
      </c>
      <c r="K22" s="273">
        <f>ROUND(VLOOKUP($E22,'BDEW-Standard'!$B$3:$M$158,K$9,0),7)</f>
        <v>4.6924300000000002E-2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0.75691065279879233</v>
      </c>
      <c r="R22" s="274">
        <f>ROUND(VLOOKUP(MID($E22,4,3),'Wochentag F(WT)'!$B$7:$J$22,R$9,0),4)</f>
        <v>1.0214000000000001</v>
      </c>
      <c r="S22" s="274">
        <f>ROUND(VLOOKUP(MID($E22,4,3),'Wochentag F(WT)'!$B$7:$J$22,S$9,0),4)</f>
        <v>1.0866</v>
      </c>
      <c r="T22" s="274">
        <f>ROUND(VLOOKUP(MID($E22,4,3),'Wochentag F(WT)'!$B$7:$J$22,T$9,0),4)</f>
        <v>1.0720000000000001</v>
      </c>
      <c r="U22" s="274">
        <f>ROUND(VLOOKUP(MID($E22,4,3),'Wochentag F(WT)'!$B$7:$J$22,U$9,0),4)</f>
        <v>1.0557000000000001</v>
      </c>
      <c r="V22" s="274">
        <f>ROUND(VLOOKUP(MID($E22,4,3),'Wochentag F(WT)'!$B$7:$J$22,V$9,0),4)</f>
        <v>1.0117</v>
      </c>
      <c r="W22" s="274">
        <f>ROUND(VLOOKUP(MID($E22,4,3),'Wochentag F(WT)'!$B$7:$J$22,W$9,0),4)</f>
        <v>0.90010000000000001</v>
      </c>
      <c r="X22" s="275">
        <f t="shared" si="2"/>
        <v>0.85249999999999915</v>
      </c>
      <c r="Y22" s="292"/>
      <c r="Z22" s="210"/>
    </row>
    <row r="23" spans="2:26" s="142" customFormat="1">
      <c r="B23" s="143">
        <v>12</v>
      </c>
      <c r="C23" s="144" t="str">
        <f t="shared" si="0"/>
        <v>SWE Netz GmbH</v>
      </c>
      <c r="D23" s="62" t="s">
        <v>247</v>
      </c>
      <c r="E23" s="164" t="s">
        <v>680</v>
      </c>
      <c r="F23" s="296" t="str">
        <f>VLOOKUP($E23,'BDEW-Standard'!$B$3:$M$158,F$9,0)</f>
        <v>MF4</v>
      </c>
      <c r="H23" s="273">
        <f>ROUND(VLOOKUP($E23,'BDEW-Standard'!$B$3:$M$158,H$9,0),7)</f>
        <v>2.5187775000000001</v>
      </c>
      <c r="I23" s="273">
        <f>ROUND(VLOOKUP($E23,'BDEW-Standard'!$B$3:$M$158,I$9,0),7)</f>
        <v>-35.033375399999997</v>
      </c>
      <c r="J23" s="273">
        <f>ROUND(VLOOKUP($E23,'BDEW-Standard'!$B$3:$M$158,J$9,0),7)</f>
        <v>6.2240634000000004</v>
      </c>
      <c r="K23" s="273">
        <f>ROUND(VLOOKUP($E23,'BDEW-Standard'!$B$3:$M$158,K$9,0),7)</f>
        <v>0.10107820000000001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1.0146273685996503</v>
      </c>
      <c r="R23" s="274">
        <f>ROUND(VLOOKUP(MID($E23,4,3),'Wochentag F(WT)'!$B$7:$J$22,R$9,0),4)</f>
        <v>1.0354000000000001</v>
      </c>
      <c r="S23" s="274">
        <f>ROUND(VLOOKUP(MID($E23,4,3),'Wochentag F(WT)'!$B$7:$J$22,S$9,0),4)</f>
        <v>1.0523</v>
      </c>
      <c r="T23" s="274">
        <f>ROUND(VLOOKUP(MID($E23,4,3),'Wochentag F(WT)'!$B$7:$J$22,T$9,0),4)</f>
        <v>1.0448999999999999</v>
      </c>
      <c r="U23" s="274">
        <f>ROUND(VLOOKUP(MID($E23,4,3),'Wochentag F(WT)'!$B$7:$J$22,U$9,0),4)</f>
        <v>1.0494000000000001</v>
      </c>
      <c r="V23" s="274">
        <f>ROUND(VLOOKUP(MID($E23,4,3),'Wochentag F(WT)'!$B$7:$J$22,V$9,0),4)</f>
        <v>0.98850000000000005</v>
      </c>
      <c r="W23" s="274">
        <f>ROUND(VLOOKUP(MID($E23,4,3),'Wochentag F(WT)'!$B$7:$J$22,W$9,0),4)</f>
        <v>0.88600000000000001</v>
      </c>
      <c r="X23" s="275">
        <f t="shared" si="2"/>
        <v>0.94349999999999934</v>
      </c>
      <c r="Y23" s="292"/>
      <c r="Z23" s="210"/>
    </row>
    <row r="24" spans="2:26" s="142" customFormat="1">
      <c r="B24" s="143">
        <v>13</v>
      </c>
      <c r="C24" s="144" t="str">
        <f t="shared" si="0"/>
        <v>SWE Netz GmbH</v>
      </c>
      <c r="D24" s="62" t="s">
        <v>247</v>
      </c>
      <c r="E24" s="164" t="s">
        <v>681</v>
      </c>
      <c r="F24" s="296" t="str">
        <f>VLOOKUP($E24,'BDEW-Standard'!$B$3:$M$158,F$9,0)</f>
        <v>WA4</v>
      </c>
      <c r="H24" s="273">
        <f>ROUND(VLOOKUP($E24,'BDEW-Standard'!$B$3:$M$158,H$9,0),7)</f>
        <v>1.0535874999999999</v>
      </c>
      <c r="I24" s="273">
        <f>ROUND(VLOOKUP($E24,'BDEW-Standard'!$B$3:$M$158,I$9,0),7)</f>
        <v>-35.299999999999997</v>
      </c>
      <c r="J24" s="273">
        <f>ROUND(VLOOKUP($E24,'BDEW-Standard'!$B$3:$M$158,J$9,0),7)</f>
        <v>4.8662747</v>
      </c>
      <c r="K24" s="273">
        <f>ROUND(VLOOKUP($E24,'BDEW-Standard'!$B$3:$M$158,K$9,0),7)</f>
        <v>0.68110420000000005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1.0844348950990992</v>
      </c>
      <c r="R24" s="274">
        <f>ROUND(VLOOKUP(MID($E24,4,3),'Wochentag F(WT)'!$B$7:$J$22,R$9,0),4)</f>
        <v>1.2457</v>
      </c>
      <c r="S24" s="274">
        <f>ROUND(VLOOKUP(MID($E24,4,3),'Wochentag F(WT)'!$B$7:$J$22,S$9,0),4)</f>
        <v>1.2615000000000001</v>
      </c>
      <c r="T24" s="274">
        <f>ROUND(VLOOKUP(MID($E24,4,3),'Wochentag F(WT)'!$B$7:$J$22,T$9,0),4)</f>
        <v>1.2706999999999999</v>
      </c>
      <c r="U24" s="274">
        <f>ROUND(VLOOKUP(MID($E24,4,3),'Wochentag F(WT)'!$B$7:$J$22,U$9,0),4)</f>
        <v>1.2430000000000001</v>
      </c>
      <c r="V24" s="274">
        <f>ROUND(VLOOKUP(MID($E24,4,3),'Wochentag F(WT)'!$B$7:$J$22,V$9,0),4)</f>
        <v>1.1275999999999999</v>
      </c>
      <c r="W24" s="274">
        <f>ROUND(VLOOKUP(MID($E24,4,3),'Wochentag F(WT)'!$B$7:$J$22,W$9,0),4)</f>
        <v>0.38769999999999999</v>
      </c>
      <c r="X24" s="275">
        <f t="shared" si="2"/>
        <v>0.46379999999999999</v>
      </c>
      <c r="Y24" s="292"/>
      <c r="Z24" s="210"/>
    </row>
    <row r="25" spans="2:26" s="142" customFormat="1">
      <c r="B25" s="143">
        <v>14</v>
      </c>
      <c r="C25" s="144" t="str">
        <f t="shared" si="0"/>
        <v>SWE Netz GmbH</v>
      </c>
      <c r="D25" s="62" t="s">
        <v>247</v>
      </c>
      <c r="E25" s="164" t="s">
        <v>4</v>
      </c>
      <c r="F25" s="296" t="str">
        <f>VLOOKUP($E25,'BDEW-Standard'!$B$3:$M$158,F$9,0)</f>
        <v>HK3</v>
      </c>
      <c r="H25" s="273">
        <f>ROUND(VLOOKUP($E25,'BDEW-Standard'!$B$3:$M$158,H$9,0),7)</f>
        <v>0.40409319999999999</v>
      </c>
      <c r="I25" s="273">
        <f>ROUND(VLOOKUP($E25,'BDEW-Standard'!$B$3:$M$158,I$9,0),7)</f>
        <v>-24.439296800000001</v>
      </c>
      <c r="J25" s="273">
        <f>ROUND(VLOOKUP($E25,'BDEW-Standard'!$B$3:$M$158,J$9,0),7)</f>
        <v>6.5718174999999999</v>
      </c>
      <c r="K25" s="273">
        <f>ROUND(VLOOKUP($E25,'BDEW-Standard'!$B$3:$M$158,K$9,0),7)</f>
        <v>0.71077100000000004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1.0561214000512988</v>
      </c>
      <c r="R25" s="274">
        <f>ROUND(VLOOKUP(MID($E25,4,3),'Wochentag F(WT)'!$B$7:$J$22,R$9,0),4)</f>
        <v>1</v>
      </c>
      <c r="S25" s="274">
        <f>ROUND(VLOOKUP(MID($E25,4,3),'Wochentag F(WT)'!$B$7:$J$22,S$9,0),4)</f>
        <v>1</v>
      </c>
      <c r="T25" s="274">
        <f>ROUND(VLOOKUP(MID($E25,4,3),'Wochentag F(WT)'!$B$7:$J$22,T$9,0),4)</f>
        <v>1</v>
      </c>
      <c r="U25" s="274">
        <f>ROUND(VLOOKUP(MID($E25,4,3),'Wochentag F(WT)'!$B$7:$J$22,U$9,0),4)</f>
        <v>1</v>
      </c>
      <c r="V25" s="274">
        <f>ROUND(VLOOKUP(MID($E25,4,3),'Wochentag F(WT)'!$B$7:$J$22,V$9,0),4)</f>
        <v>1</v>
      </c>
      <c r="W25" s="274">
        <f>ROUND(VLOOKUP(MID($E25,4,3),'Wochentag F(WT)'!$B$7:$J$22,W$9,0),4)</f>
        <v>1</v>
      </c>
      <c r="X25" s="275">
        <f t="shared" si="2"/>
        <v>1</v>
      </c>
      <c r="Y25" s="292"/>
      <c r="Z25" s="210"/>
    </row>
    <row r="26" spans="2:26" s="142" customFormat="1">
      <c r="B26" s="143">
        <v>15</v>
      </c>
      <c r="C26" s="144" t="str">
        <f t="shared" si="0"/>
        <v>SWE Netz GmbH</v>
      </c>
      <c r="D26" s="62" t="s">
        <v>247</v>
      </c>
      <c r="E26" s="164" t="s">
        <v>494</v>
      </c>
      <c r="F26" s="296" t="str">
        <f>VLOOKUP($E26,'BDEW-Standard'!$B$3:$M$158,F$9,0)</f>
        <v>1D3</v>
      </c>
      <c r="H26" s="273">
        <f>ROUND(VLOOKUP($E26,'BDEW-Standard'!$B$3:$M$158,H$9,0),7)</f>
        <v>1.6209544</v>
      </c>
      <c r="I26" s="273">
        <f>ROUND(VLOOKUP($E26,'BDEW-Standard'!$B$3:$M$158,I$9,0),7)</f>
        <v>-37.183314099999997</v>
      </c>
      <c r="J26" s="273">
        <f>ROUND(VLOOKUP($E26,'BDEW-Standard'!$B$3:$M$158,J$9,0),7)</f>
        <v>5.6727847000000002</v>
      </c>
      <c r="K26" s="273">
        <f>ROUND(VLOOKUP($E26,'BDEW-Standard'!$B$3:$M$158,K$9,0),7)</f>
        <v>7.1643100000000001E-2</v>
      </c>
      <c r="L26" s="337">
        <f>ROUND(VLOOKUP($E26,'BDEW-Standard'!$B$3:$M$158,L$9,0),1)</f>
        <v>40</v>
      </c>
      <c r="M26" s="273">
        <f>ROUND(VLOOKUP($E26,'BDEW-Standard'!$B$3:$M$158,M$9,0),7)</f>
        <v>-4.9570000000000003E-2</v>
      </c>
      <c r="N26" s="273">
        <f>ROUND(VLOOKUP($E26,'BDEW-Standard'!$B$3:$M$158,N$9,0),7)</f>
        <v>0.84010149999999995</v>
      </c>
      <c r="O26" s="273">
        <f>ROUND(VLOOKUP($E26,'BDEW-Standard'!$B$3:$M$158,O$9,0),7)</f>
        <v>-2.209E-3</v>
      </c>
      <c r="P26" s="273">
        <f>ROUND(VLOOKUP($E26,'BDEW-Standard'!$B$3:$M$158,P$9,0),7)</f>
        <v>0.1074468</v>
      </c>
      <c r="Q26" s="338">
        <f t="shared" si="1"/>
        <v>1.0000001417752751</v>
      </c>
      <c r="R26" s="274">
        <f>ROUND(VLOOKUP(MID($E26,4,3),'Wochentag F(WT)'!$B$7:$J$22,R$9,0),4)</f>
        <v>1</v>
      </c>
      <c r="S26" s="274">
        <f>ROUND(VLOOKUP(MID($E26,4,3),'Wochentag F(WT)'!$B$7:$J$22,S$9,0),4)</f>
        <v>1</v>
      </c>
      <c r="T26" s="274">
        <f>ROUND(VLOOKUP(MID($E26,4,3),'Wochentag F(WT)'!$B$7:$J$22,T$9,0),4)</f>
        <v>1</v>
      </c>
      <c r="U26" s="274">
        <f>ROUND(VLOOKUP(MID($E26,4,3),'Wochentag F(WT)'!$B$7:$J$22,U$9,0),4)</f>
        <v>1</v>
      </c>
      <c r="V26" s="274">
        <f>ROUND(VLOOKUP(MID($E26,4,3),'Wochentag F(WT)'!$B$7:$J$22,V$9,0),4)</f>
        <v>1</v>
      </c>
      <c r="W26" s="274">
        <f>ROUND(VLOOKUP(MID($E26,4,3),'Wochentag F(WT)'!$B$7:$J$22,W$9,0),4)</f>
        <v>1</v>
      </c>
      <c r="X26" s="275">
        <f t="shared" si="2"/>
        <v>1</v>
      </c>
      <c r="Y26" s="292"/>
      <c r="Z26" s="210"/>
    </row>
    <row r="27" spans="2:26" s="142" customFormat="1">
      <c r="B27" s="143">
        <v>16</v>
      </c>
      <c r="C27" s="144" t="str">
        <f t="shared" si="0"/>
        <v>SWE Netz GmbH</v>
      </c>
      <c r="D27" s="62" t="s">
        <v>247</v>
      </c>
      <c r="E27" s="165" t="s">
        <v>669</v>
      </c>
      <c r="F27" s="296" t="str">
        <f>VLOOKUP($E27,'BDEW-Standard'!$B$3:$M$158,F$9,0)</f>
        <v>1D4</v>
      </c>
      <c r="H27" s="273">
        <f>ROUND(VLOOKUP($E27,'BDEW-Standard'!$B$3:$M$158,H$9,0),7)</f>
        <v>1.3819663</v>
      </c>
      <c r="I27" s="273">
        <f>ROUND(VLOOKUP($E27,'BDEW-Standard'!$B$3:$M$158,I$9,0),7)</f>
        <v>-37.412415500000002</v>
      </c>
      <c r="J27" s="273">
        <f>ROUND(VLOOKUP($E27,'BDEW-Standard'!$B$3:$M$158,J$9,0),7)</f>
        <v>6.1723179000000004</v>
      </c>
      <c r="K27" s="273">
        <f>ROUND(VLOOKUP($E27,'BDEW-Standard'!$B$3:$M$158,K$9,0),7)</f>
        <v>3.9628400000000001E-2</v>
      </c>
      <c r="L27" s="337">
        <f>ROUND(VLOOKUP($E27,'BDEW-Standard'!$B$3:$M$158,L$9,0),1)</f>
        <v>40</v>
      </c>
      <c r="M27" s="273">
        <f>ROUND(VLOOKUP($E27,'BDEW-Standard'!$B$3:$M$158,M$9,0),7)</f>
        <v>-6.7215899999999995E-2</v>
      </c>
      <c r="N27" s="273">
        <f>ROUND(VLOOKUP($E27,'BDEW-Standard'!$B$3:$M$158,N$9,0),7)</f>
        <v>1.1167138000000001</v>
      </c>
      <c r="O27" s="273">
        <f>ROUND(VLOOKUP($E27,'BDEW-Standard'!$B$3:$M$158,O$9,0),7)</f>
        <v>-1.9981999999999999E-3</v>
      </c>
      <c r="P27" s="273">
        <f>ROUND(VLOOKUP($E27,'BDEW-Standard'!$B$3:$M$158,P$9,0),7)</f>
        <v>0.13550699999999999</v>
      </c>
      <c r="Q27" s="338">
        <f t="shared" si="1"/>
        <v>0.99999978578617399</v>
      </c>
      <c r="R27" s="274">
        <f>ROUND(VLOOKUP(MID($E27,4,3),'Wochentag F(WT)'!$B$7:$J$22,R$9,0),4)</f>
        <v>1</v>
      </c>
      <c r="S27" s="274">
        <f>ROUND(VLOOKUP(MID($E27,4,3),'Wochentag F(WT)'!$B$7:$J$22,S$9,0),4)</f>
        <v>1</v>
      </c>
      <c r="T27" s="274">
        <f>ROUND(VLOOKUP(MID($E27,4,3),'Wochentag F(WT)'!$B$7:$J$22,T$9,0),4)</f>
        <v>1</v>
      </c>
      <c r="U27" s="274">
        <f>ROUND(VLOOKUP(MID($E27,4,3),'Wochentag F(WT)'!$B$7:$J$22,U$9,0),4)</f>
        <v>1</v>
      </c>
      <c r="V27" s="274">
        <f>ROUND(VLOOKUP(MID($E27,4,3),'Wochentag F(WT)'!$B$7:$J$22,V$9,0),4)</f>
        <v>1</v>
      </c>
      <c r="W27" s="274">
        <f>ROUND(VLOOKUP(MID($E27,4,3),'Wochentag F(WT)'!$B$7:$J$22,W$9,0),4)</f>
        <v>1</v>
      </c>
      <c r="X27" s="275">
        <f t="shared" ref="X27:X28" si="3">7-SUM(R27:W27)</f>
        <v>1</v>
      </c>
      <c r="Y27" s="292"/>
    </row>
    <row r="28" spans="2:26" s="142" customFormat="1">
      <c r="B28" s="143">
        <v>17</v>
      </c>
      <c r="C28" s="144" t="str">
        <f t="shared" si="0"/>
        <v>SWE Netz GmbH</v>
      </c>
      <c r="D28" s="62" t="s">
        <v>247</v>
      </c>
      <c r="E28" s="165" t="s">
        <v>505</v>
      </c>
      <c r="F28" s="296" t="str">
        <f>VLOOKUP($E28,'BDEW-Standard'!$B$3:$M$158,F$9,0)</f>
        <v>2D3</v>
      </c>
      <c r="H28" s="273">
        <f>ROUND(VLOOKUP($E28,'BDEW-Standard'!$B$3:$M$158,H$9,0),7)</f>
        <v>1.2328654999999999</v>
      </c>
      <c r="I28" s="273">
        <f>ROUND(VLOOKUP($E28,'BDEW-Standard'!$B$3:$M$158,I$9,0),7)</f>
        <v>-34.721360500000003</v>
      </c>
      <c r="J28" s="273">
        <f>ROUND(VLOOKUP($E28,'BDEW-Standard'!$B$3:$M$158,J$9,0),7)</f>
        <v>5.8164303999999998</v>
      </c>
      <c r="K28" s="273">
        <f>ROUND(VLOOKUP($E28,'BDEW-Standard'!$B$3:$M$158,K$9,0),7)</f>
        <v>8.7335200000000002E-2</v>
      </c>
      <c r="L28" s="337">
        <f>ROUND(VLOOKUP($E28,'BDEW-Standard'!$B$3:$M$158,L$9,0),1)</f>
        <v>40</v>
      </c>
      <c r="M28" s="273">
        <f>ROUND(VLOOKUP($E28,'BDEW-Standard'!$B$3:$M$158,M$9,0),7)</f>
        <v>-4.0928399999999997E-2</v>
      </c>
      <c r="N28" s="273">
        <f>ROUND(VLOOKUP($E28,'BDEW-Standard'!$B$3:$M$158,N$9,0),7)</f>
        <v>0.76729199999999997</v>
      </c>
      <c r="O28" s="273">
        <f>ROUND(VLOOKUP($E28,'BDEW-Standard'!$B$3:$M$158,O$9,0),7)</f>
        <v>-2.232E-3</v>
      </c>
      <c r="P28" s="273">
        <f>ROUND(VLOOKUP($E28,'BDEW-Standard'!$B$3:$M$158,P$9,0),7)</f>
        <v>0.11992070000000001</v>
      </c>
      <c r="Q28" s="338">
        <f t="shared" si="1"/>
        <v>0.99999997653191475</v>
      </c>
      <c r="R28" s="274">
        <f>ROUND(VLOOKUP(MID($E28,4,3),'Wochentag F(WT)'!$B$7:$J$22,R$9,0),4)</f>
        <v>1</v>
      </c>
      <c r="S28" s="274">
        <f>ROUND(VLOOKUP(MID($E28,4,3),'Wochentag F(WT)'!$B$7:$J$22,S$9,0),4)</f>
        <v>1</v>
      </c>
      <c r="T28" s="274">
        <f>ROUND(VLOOKUP(MID($E28,4,3),'Wochentag F(WT)'!$B$7:$J$22,T$9,0),4)</f>
        <v>1</v>
      </c>
      <c r="U28" s="274">
        <f>ROUND(VLOOKUP(MID($E28,4,3),'Wochentag F(WT)'!$B$7:$J$22,U$9,0),4)</f>
        <v>1</v>
      </c>
      <c r="V28" s="274">
        <f>ROUND(VLOOKUP(MID($E28,4,3),'Wochentag F(WT)'!$B$7:$J$22,V$9,0),4)</f>
        <v>1</v>
      </c>
      <c r="W28" s="274">
        <f>ROUND(VLOOKUP(MID($E28,4,3),'Wochentag F(WT)'!$B$7:$J$22,W$9,0),4)</f>
        <v>1</v>
      </c>
      <c r="X28" s="275">
        <f t="shared" si="3"/>
        <v>1</v>
      </c>
      <c r="Y28" s="292"/>
    </row>
    <row r="29" spans="2:26" s="142" customFormat="1">
      <c r="B29" s="143">
        <v>18</v>
      </c>
      <c r="C29" s="144" t="str">
        <f t="shared" si="0"/>
        <v>SWE Netz GmbH</v>
      </c>
      <c r="D29" s="62" t="s">
        <v>247</v>
      </c>
      <c r="E29" s="165" t="s">
        <v>670</v>
      </c>
      <c r="F29" s="296" t="str">
        <f>VLOOKUP($E29,'BDEW-Standard'!$B$3:$M$158,F$9,0)</f>
        <v>2D4</v>
      </c>
      <c r="H29" s="273">
        <f>ROUND(VLOOKUP($E29,'BDEW-Standard'!$B$3:$M$158,H$9,0),7)</f>
        <v>1.0443538000000001</v>
      </c>
      <c r="I29" s="273">
        <f>ROUND(VLOOKUP($E29,'BDEW-Standard'!$B$3:$M$158,I$9,0),7)</f>
        <v>-35.033375399999997</v>
      </c>
      <c r="J29" s="273">
        <f>ROUND(VLOOKUP($E29,'BDEW-Standard'!$B$3:$M$158,J$9,0),7)</f>
        <v>6.2240634000000004</v>
      </c>
      <c r="K29" s="273">
        <f>ROUND(VLOOKUP($E29,'BDEW-Standard'!$B$3:$M$158,K$9,0),7)</f>
        <v>5.0291700000000002E-2</v>
      </c>
      <c r="L29" s="337">
        <f>ROUND(VLOOKUP($E29,'BDEW-Standard'!$B$3:$M$158,L$9,0),1)</f>
        <v>40</v>
      </c>
      <c r="M29" s="273">
        <f>ROUND(VLOOKUP($E29,'BDEW-Standard'!$B$3:$M$158,M$9,0),7)</f>
        <v>-5.3582999999999999E-2</v>
      </c>
      <c r="N29" s="273">
        <f>ROUND(VLOOKUP($E29,'BDEW-Standard'!$B$3:$M$158,N$9,0),7)</f>
        <v>0.99959010000000004</v>
      </c>
      <c r="O29" s="273">
        <f>ROUND(VLOOKUP($E29,'BDEW-Standard'!$B$3:$M$158,O$9,0),7)</f>
        <v>-2.1757999999999999E-3</v>
      </c>
      <c r="P29" s="273">
        <f>ROUND(VLOOKUP($E29,'BDEW-Standard'!$B$3:$M$158,P$9,0),7)</f>
        <v>0.1633299</v>
      </c>
      <c r="Q29" s="338">
        <f t="shared" si="1"/>
        <v>1.0000001838008261</v>
      </c>
      <c r="R29" s="274">
        <f>ROUND(VLOOKUP(MID($E29,4,3),'Wochentag F(WT)'!$B$7:$J$22,R$9,0),4)</f>
        <v>1</v>
      </c>
      <c r="S29" s="274">
        <f>ROUND(VLOOKUP(MID($E29,4,3),'Wochentag F(WT)'!$B$7:$J$22,S$9,0),4)</f>
        <v>1</v>
      </c>
      <c r="T29" s="274">
        <f>ROUND(VLOOKUP(MID($E29,4,3),'Wochentag F(WT)'!$B$7:$J$22,T$9,0),4)</f>
        <v>1</v>
      </c>
      <c r="U29" s="274">
        <f>ROUND(VLOOKUP(MID($E29,4,3),'Wochentag F(WT)'!$B$7:$J$22,U$9,0),4)</f>
        <v>1</v>
      </c>
      <c r="V29" s="274">
        <f>ROUND(VLOOKUP(MID($E29,4,3),'Wochentag F(WT)'!$B$7:$J$22,V$9,0),4)</f>
        <v>1</v>
      </c>
      <c r="W29" s="274">
        <f>ROUND(VLOOKUP(MID($E29,4,3),'Wochentag F(WT)'!$B$7:$J$22,W$9,0),4)</f>
        <v>1</v>
      </c>
      <c r="X29" s="275">
        <f t="shared" ref="X29" si="4">7-SUM(R29:W29)</f>
        <v>1</v>
      </c>
      <c r="Y29" s="292"/>
    </row>
    <row r="30" spans="2:26" s="142" customFormat="1">
      <c r="B30" s="143">
        <v>19</v>
      </c>
      <c r="C30" s="144" t="str">
        <f t="shared" si="0"/>
        <v>SWE Netz GmbH</v>
      </c>
      <c r="D30" s="62" t="s">
        <v>247</v>
      </c>
      <c r="E30" s="165" t="s">
        <v>682</v>
      </c>
      <c r="F30" s="296" t="str">
        <f>VLOOKUP($E30,'BDEW-Standard'!$B$3:$M$158,F$9,0)</f>
        <v>HD4</v>
      </c>
      <c r="H30" s="273">
        <f>ROUND(VLOOKUP($E30,'BDEW-Standard'!$B$3:$M$158,H$9,0),7)</f>
        <v>3.0084346000000002</v>
      </c>
      <c r="I30" s="273">
        <f>ROUND(VLOOKUP($E30,'BDEW-Standard'!$B$3:$M$158,I$9,0),7)</f>
        <v>-36.607845300000001</v>
      </c>
      <c r="J30" s="273">
        <f>ROUND(VLOOKUP($E30,'BDEW-Standard'!$B$3:$M$158,J$9,0),7)</f>
        <v>7.3211870000000001</v>
      </c>
      <c r="K30" s="273">
        <f>ROUND(VLOOKUP($E30,'BDEW-Standard'!$B$3:$M$158,K$9,0),7)</f>
        <v>0.15496599999999999</v>
      </c>
      <c r="L30" s="337">
        <f>ROUND(VLOOKUP($E30,'BDEW-Standard'!$B$3:$M$158,L$9,0),1)</f>
        <v>40</v>
      </c>
      <c r="M30" s="273">
        <f>ROUND(VLOOKUP($E30,'BDEW-Standard'!$B$3:$M$158,M$9,0),7)</f>
        <v>0</v>
      </c>
      <c r="N30" s="273">
        <f>ROUND(VLOOKUP($E30,'BDEW-Standard'!$B$3:$M$158,N$9,0),7)</f>
        <v>0</v>
      </c>
      <c r="O30" s="273">
        <f>ROUND(VLOOKUP($E30,'BDEW-Standard'!$B$3:$M$158,O$9,0),7)</f>
        <v>0</v>
      </c>
      <c r="P30" s="273">
        <f>ROUND(VLOOKUP($E30,'BDEW-Standard'!$B$3:$M$158,P$9,0),7)</f>
        <v>0</v>
      </c>
      <c r="Q30" s="338">
        <f t="shared" si="1"/>
        <v>0.97302438504000599</v>
      </c>
      <c r="R30" s="274">
        <f>ROUND(VLOOKUP(MID($E30,4,3),'Wochentag F(WT)'!$B$7:$J$22,R$9,0),4)</f>
        <v>1.03</v>
      </c>
      <c r="S30" s="274">
        <f>ROUND(VLOOKUP(MID($E30,4,3),'Wochentag F(WT)'!$B$7:$J$22,S$9,0),4)</f>
        <v>1.03</v>
      </c>
      <c r="T30" s="274">
        <f>ROUND(VLOOKUP(MID($E30,4,3),'Wochentag F(WT)'!$B$7:$J$22,T$9,0),4)</f>
        <v>1.02</v>
      </c>
      <c r="U30" s="274">
        <f>ROUND(VLOOKUP(MID($E30,4,3),'Wochentag F(WT)'!$B$7:$J$22,U$9,0),4)</f>
        <v>1.03</v>
      </c>
      <c r="V30" s="274">
        <f>ROUND(VLOOKUP(MID($E30,4,3),'Wochentag F(WT)'!$B$7:$J$22,V$9,0),4)</f>
        <v>1.01</v>
      </c>
      <c r="W30" s="274">
        <f>ROUND(VLOOKUP(MID($E30,4,3),'Wochentag F(WT)'!$B$7:$J$22,W$9,0),4)</f>
        <v>0.93</v>
      </c>
      <c r="X30" s="275">
        <f t="shared" ref="X30" si="5">7-SUM(R30:W30)</f>
        <v>0.95000000000000018</v>
      </c>
      <c r="Y30" s="292"/>
    </row>
    <row r="31" spans="2:26" s="142" customFormat="1">
      <c r="B31" s="143">
        <v>20</v>
      </c>
      <c r="C31" s="144" t="str">
        <f t="shared" si="0"/>
        <v>SWE Netz GmbH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SWE Netz GmbH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SWE Netz GmbH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SWE Netz GmbH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SWE Netz GmbH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SWE Netz GmbH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SWE Netz GmbH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SWE Netz GmbH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SWE Netz GmbH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SWE Netz GmbH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SWE Netz GmbH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28 H11:K28 M11:P28 R11:Y28 R31:Y41 M31:P41 H31:K41 F31:F41 Y29:Y30">
    <cfRule type="expression" dxfId="46" priority="19">
      <formula>ISERROR(F11)</formula>
    </cfRule>
  </conditionalFormatting>
  <conditionalFormatting sqref="Y12:Y41 E31:F41 E29:E30 E12:F28">
    <cfRule type="duplicateValues" dxfId="45" priority="41"/>
  </conditionalFormatting>
  <conditionalFormatting sqref="L11:L28 L31:L41">
    <cfRule type="expression" dxfId="44" priority="10">
      <formula>ISERROR(L11)</formula>
    </cfRule>
  </conditionalFormatting>
  <conditionalFormatting sqref="Q11:Q28 Q31:Q41">
    <cfRule type="expression" dxfId="43" priority="9">
      <formula>ISERROR(Q11)</formula>
    </cfRule>
  </conditionalFormatting>
  <conditionalFormatting sqref="F29 H29:K29 M29:P29 R29:X29">
    <cfRule type="expression" dxfId="31" priority="7">
      <formula>ISERROR(F29)</formula>
    </cfRule>
  </conditionalFormatting>
  <conditionalFormatting sqref="F29">
    <cfRule type="duplicateValues" dxfId="29" priority="8"/>
  </conditionalFormatting>
  <conditionalFormatting sqref="L29">
    <cfRule type="expression" dxfId="27" priority="6">
      <formula>ISERROR(L29)</formula>
    </cfRule>
  </conditionalFormatting>
  <conditionalFormatting sqref="Q29">
    <cfRule type="expression" dxfId="25" priority="5">
      <formula>ISERROR(Q29)</formula>
    </cfRule>
  </conditionalFormatting>
  <conditionalFormatting sqref="F30 H30:K30 M30:P30 R30:X30">
    <cfRule type="expression" dxfId="23" priority="3">
      <formula>ISERROR(F30)</formula>
    </cfRule>
  </conditionalFormatting>
  <conditionalFormatting sqref="F30">
    <cfRule type="duplicateValues" dxfId="21" priority="4"/>
  </conditionalFormatting>
  <conditionalFormatting sqref="L30">
    <cfRule type="expression" dxfId="19" priority="2">
      <formula>ISERROR(L30)</formula>
    </cfRule>
  </conditionalFormatting>
  <conditionalFormatting sqref="Q30">
    <cfRule type="expression" dxfId="17" priority="1">
      <formula>ISERROR(Q30)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6 F12:P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1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abSelected="1" zoomScale="80" zoomScaleNormal="80" workbookViewId="0">
      <selection activeCell="AD33" sqref="AD33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SWE Netz GmbH</v>
      </c>
      <c r="D4" s="76"/>
      <c r="G4" s="76"/>
      <c r="I4" s="76"/>
      <c r="J4" s="77"/>
      <c r="M4" s="86" t="s">
        <v>536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SWE Netz GmbH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9870045600003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43374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0" t="s">
        <v>580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1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/>
      <c r="G13" s="80"/>
      <c r="H13" s="80"/>
      <c r="I13" s="80"/>
      <c r="J13" s="80"/>
      <c r="K13" s="80"/>
      <c r="L13" s="81"/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/>
      <c r="G14" s="80"/>
      <c r="H14" s="80"/>
      <c r="I14" s="80"/>
      <c r="J14" s="80"/>
      <c r="K14" s="80"/>
      <c r="L14" s="81"/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653</v>
      </c>
      <c r="C15" s="116"/>
      <c r="D15" s="111">
        <v>7</v>
      </c>
      <c r="E15" s="304">
        <f t="shared" si="0"/>
        <v>0</v>
      </c>
      <c r="F15" s="301"/>
      <c r="G15" s="80"/>
      <c r="H15" s="80"/>
      <c r="I15" s="80"/>
      <c r="J15" s="80"/>
      <c r="K15" s="80"/>
      <c r="L15" s="81"/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646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652</v>
      </c>
      <c r="C23" s="116"/>
      <c r="D23" s="111">
        <v>15</v>
      </c>
      <c r="E23" s="304">
        <f t="shared" si="0"/>
        <v>0</v>
      </c>
      <c r="F23" s="301"/>
      <c r="G23" s="80"/>
      <c r="H23" s="80"/>
      <c r="I23" s="80"/>
      <c r="J23" s="80"/>
      <c r="K23" s="80"/>
      <c r="L23" s="81"/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/>
      <c r="G24" s="80"/>
      <c r="H24" s="80"/>
      <c r="I24" s="80"/>
      <c r="J24" s="80"/>
      <c r="K24" s="80"/>
      <c r="L24" s="81"/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/>
      <c r="G25" s="80"/>
      <c r="H25" s="80"/>
      <c r="I25" s="80"/>
      <c r="J25" s="80"/>
      <c r="K25" s="80"/>
      <c r="L25" s="81"/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1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>
        <v>1</v>
      </c>
    </row>
    <row r="28" spans="2:30" ht="15">
      <c r="B28" s="115" t="s">
        <v>408</v>
      </c>
      <c r="C28" s="116"/>
      <c r="D28" s="111">
        <v>20</v>
      </c>
      <c r="E28" s="304">
        <f t="shared" si="0"/>
        <v>0</v>
      </c>
      <c r="F28" s="301"/>
      <c r="G28" s="80"/>
      <c r="H28" s="80"/>
      <c r="I28" s="80"/>
      <c r="J28" s="80"/>
      <c r="K28" s="80"/>
      <c r="L28" s="81"/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/>
      <c r="G29" s="80"/>
      <c r="H29" s="80"/>
      <c r="I29" s="80"/>
      <c r="J29" s="80"/>
      <c r="K29" s="80"/>
      <c r="L29" s="81"/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1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>
        <v>1</v>
      </c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1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>
        <v>1</v>
      </c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40" priority="9">
      <formula>IF(E$11="NB",1,0)</formula>
    </cfRule>
  </conditionalFormatting>
  <conditionalFormatting sqref="F12:L33">
    <cfRule type="expression" dxfId="39" priority="6">
      <formula>IF($E12=1,1,0)</formula>
    </cfRule>
  </conditionalFormatting>
  <conditionalFormatting sqref="M12:AD33">
    <cfRule type="expression" dxfId="38" priority="3">
      <formula>IF(M$11=1,1)</formula>
    </cfRule>
  </conditionalFormatting>
  <conditionalFormatting sqref="M9:AD10">
    <cfRule type="expression" dxfId="37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347</v>
      </c>
      <c r="B1" s="212">
        <v>42173</v>
      </c>
      <c r="D1" s="130" t="s">
        <v>454</v>
      </c>
      <c r="F1" s="213" t="s">
        <v>542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649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542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36" priority="2" stopIfTrue="1" operator="equal">
      <formula>$M7</formula>
    </cfRule>
  </conditionalFormatting>
  <conditionalFormatting sqref="D9:J9">
    <cfRule type="cellIs" dxfId="35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nicolausj</cp:lastModifiedBy>
  <cp:lastPrinted>2015-03-20T22:59:10Z</cp:lastPrinted>
  <dcterms:created xsi:type="dcterms:W3CDTF">2015-01-15T05:25:41Z</dcterms:created>
  <dcterms:modified xsi:type="dcterms:W3CDTF">2018-07-11T07:15:51Z</dcterms:modified>
</cp:coreProperties>
</file>