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Netzkonto\Netzkontoanalyse_2020\Verfahrensspezifische Parameter\"/>
    </mc:Choice>
  </mc:AlternateContent>
  <bookViews>
    <workbookView xWindow="0" yWindow="0" windowWidth="23040" windowHeight="8472" tabRatio="707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E7" i="17" l="1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4" i="1"/>
  <c r="E33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<sst xmlns="http://schemas.openxmlformats.org/spreadsheetml/2006/main" count="1324" uniqueCount="682">
  <si>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</si>
  <si>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</si>
  <si>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</si>
  <si>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</si>
  <si>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</si>
  <si>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</si>
  <si>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</si>
  <si>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</si>
  <si>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</si>
  <si>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</si>
  <si>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</si>
  <si>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</si>
  <si>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</si>
  <si>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</si>
  <si>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</si>
  <si>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</si>
  <si>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</si>
  <si>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</si>
  <si>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</si>
  <si>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</si>
  <si>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</si>
  <si>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</si>
  <si>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</si>
  <si>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</si>
  <si>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</si>
  <si>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</si>
  <si>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</si>
  <si>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</si>
  <si>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</si>
  <si>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</si>
  <si>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</si>
  <si>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</si>
  <si>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</si>
  <si>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</si>
  <si>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</si>
  <si>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</si>
  <si>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</si>
  <si>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</si>
  <si>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</si>
  <si>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</si>
  <si>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</si>
  <si>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</si>
  <si>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</si>
  <si>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</si>
  <si>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</si>
  <si>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</si>
  <si>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</si>
  <si>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</si>
  <si>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</si>
  <si>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</si>
  <si>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</si>
  <si>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</si>
  <si>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</si>
  <si>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</si>
  <si>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</si>
  <si>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</si>
  <si>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</si>
  <si>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</si>
  <si>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</si>
  <si>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</si>
  <si>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</si>
  <si>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</si>
  <si>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</si>
  <si>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</si>
  <si>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</si>
  <si>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</si>
  <si>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</si>
  <si>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</si>
  <si>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</si>
  <si>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</si>
  <si>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</si>
  <si>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</si>
  <si>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</si>
  <si>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</si>
  <si>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</si>
  <si>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</si>
  <si>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</si>
  <si>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</si>
  <si>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</si>
  <si>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</si>
  <si>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</si>
  <si>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</si>
  <si>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</si>
  <si>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</si>
  <si>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</si>
  <si>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</si>
  <si>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</si>
  <si>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</si>
  <si>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</si>
  <si>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</si>
  <si>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</si>
  <si>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</si>
  <si>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</si>
  <si>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</si>
  <si>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</si>
  <si>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</si>
  <si>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</si>
  <si>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</si>
  <si>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</si>
  <si>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</si>
  <si>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</si>
  <si>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</si>
  <si>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</si>
  <si>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</si>
  <si>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</si>
  <si>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</si>
  <si>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</si>
  <si>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</si>
  <si>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</si>
  <si>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</si>
  <si>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</si>
  <si>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</si>
  <si>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</si>
  <si>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</si>
  <si>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</si>
  <si>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</si>
  <si>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</si>
  <si>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</si>
  <si>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</si>
  <si>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</si>
  <si>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</si>
  <si>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</si>
  <si>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</si>
  <si>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</si>
  <si>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</si>
  <si>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</si>
  <si>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</si>
  <si>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</si>
  <si>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</si>
  <si>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</si>
  <si>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</si>
  <si>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</si>
  <si>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</si>
  <si>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</si>
  <si>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</si>
  <si>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</si>
  <si>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</si>
  <si>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</si>
  <si>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</si>
  <si>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</si>
  <si>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</si>
  <si>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</si>
  <si>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</si>
  <si>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</si>
  <si>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</si>
  <si>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</si>
  <si>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</si>
  <si>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</si>
  <si>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</si>
  <si>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</si>
  <si>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</si>
  <si>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</si>
  <si>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</si>
  <si>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</si>
  <si>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</si>
  <si>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</si>
  <si>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</si>
  <si>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</si>
  <si>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</si>
  <si>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</si>
  <si>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</si>
  <si>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</si>
  <si>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</si>
  <si>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</si>
  <si>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</si>
  <si>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</si>
  <si>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</si>
  <si>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</si>
  <si>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</si>
  <si>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</si>
  <si>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</si>
  <si>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</si>
  <si>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</si>
  <si>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</si>
  <si>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</si>
  <si>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</si>
  <si>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</si>
  <si>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</si>
  <si>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</si>
  <si>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</si>
  <si>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</si>
  <si>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</si>
  <si>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</si>
  <si>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</si>
  <si>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</si>
  <si>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</si>
  <si>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</si>
  <si>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</si>
  <si>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</si>
  <si>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</si>
  <si>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</si>
  <si>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</si>
  <si>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</si>
  <si>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</si>
  <si>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</si>
  <si>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</si>
  <si>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</si>
  <si>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</si>
  <si>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</si>
  <si>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</si>
  <si>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</si>
  <si>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</si>
  <si>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</si>
  <si>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</si>
  <si>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</si>
  <si>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</si>
  <si>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</si>
  <si>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</si>
  <si>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</si>
  <si>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</si>
  <si>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</si>
  <si>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</si>
  <si>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</si>
  <si>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</si>
  <si>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</si>
  <si>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</si>
  <si>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</si>
  <si>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</si>
  <si>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</si>
  <si>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</si>
  <si>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</si>
  <si>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</si>
  <si>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</si>
  <si>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</si>
  <si>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</si>
  <si>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</si>
  <si>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</si>
  <si>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</si>
  <si>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</si>
  <si>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</si>
  <si>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</si>
  <si>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</si>
  <si>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</si>
  <si>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</si>
  <si>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</si>
  <si>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</si>
  <si>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</si>
  <si>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</si>
  <si>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</si>
  <si>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</si>
  <si>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</si>
  <si>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</si>
  <si>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</si>
  <si>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</si>
  <si>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</si>
  <si>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</si>
  <si>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</si>
  <si>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</si>
  <si>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</si>
  <si>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</si>
  <si>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</si>
  <si>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</si>
  <si>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</si>
  <si>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</si>
  <si>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</si>
  <si>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</si>
  <si>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</si>
  <si>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</si>
  <si>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</si>
  <si>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</si>
  <si>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</si>
  <si>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</si>
  <si>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</si>
  <si>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</si>
  <si>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</si>
  <si>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</si>
  <si>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</si>
  <si>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</si>
  <si>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</si>
  <si>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</si>
  <si>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</si>
  <si>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</si>
  <si>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</si>
  <si>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</si>
  <si>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</si>
  <si>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</si>
  <si>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</si>
  <si>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</si>
  <si>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</si>
  <si>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</si>
  <si>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</si>
  <si>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</si>
  <si>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</si>
  <si>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</si>
  <si>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</si>
  <si>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</si>
  <si>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</si>
  <si>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</si>
  <si>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</si>
  <si>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</si>
  <si>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</si>
  <si>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</si>
  <si>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</si>
  <si>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</si>
  <si>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</si>
  <si>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</si>
  <si>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</si>
  <si>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</si>
  <si>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</si>
  <si>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</si>
  <si>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</si>
  <si>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</si>
  <si>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</si>
  <si>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</si>
  <si>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</si>
  <si>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</si>
  <si>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</si>
  <si>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</si>
  <si>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</si>
  <si>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</si>
  <si>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</si>
  <si>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</si>
  <si>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</si>
  <si>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</si>
  <si>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</si>
  <si>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</si>
  <si>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</si>
  <si>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</si>
  <si>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</si>
  <si>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</si>
  <si>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</si>
  <si>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</si>
  <si>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</si>
  <si>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</si>
  <si>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</si>
  <si>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</si>
  <si>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</si>
  <si>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</si>
  <si>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</si>
  <si>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</si>
  <si>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</si>
  <si>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</si>
  <si>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</si>
  <si>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</si>
  <si>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</si>
  <si>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</si>
  <si>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</si>
  <si>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</si>
  <si>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</si>
  <si>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</si>
  <si>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</si>
  <si>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</si>
  <si>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</si>
  <si>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</si>
  <si>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</si>
  <si>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</si>
  <si>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</si>
  <si>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</si>
  <si>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</si>
  <si>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</si>
  <si>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</si>
  <si>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</si>
  <si>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</si>
  <si>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</si>
  <si>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</si>
  <si>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</si>
  <si>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</si>
  <si>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</si>
  <si>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</si>
  <si>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</si>
  <si>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</si>
  <si>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</si>
  <si>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</si>
  <si>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</si>
  <si>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</si>
  <si>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</si>
  <si>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</si>
  <si>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</si>
  <si>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</si>
  <si>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</si>
  <si>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</si>
  <si>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</si>
  <si>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</si>
  <si>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</si>
  <si>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</si>
  <si>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</si>
  <si>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</si>
  <si>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</si>
  <si>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</si>
  <si>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</si>
  <si>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</si>
  <si>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</si>
  <si>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</si>
  <si>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</si>
  <si>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</si>
  <si>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</si>
  <si>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</si>
  <si>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</si>
  <si>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</si>
  <si>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</si>
  <si>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</si>
  <si>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</si>
  <si>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</si>
  <si>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</si>
  <si>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</si>
  <si>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</si>
  <si>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</si>
  <si>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</si>
  <si>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</si>
  <si>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</si>
  <si>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</si>
  <si>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</si>
  <si>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</si>
  <si>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</si>
  <si>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</si>
  <si>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</si>
  <si>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</si>
  <si>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</si>
  <si>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</si>
  <si>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</si>
  <si>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</si>
  <si>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</si>
  <si>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</si>
  <si>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</si>
  <si>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</si>
  <si>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</si>
  <si>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</si>
  <si>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</si>
  <si>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</si>
  <si>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</si>
  <si>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</si>
  <si>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</si>
  <si>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</si>
  <si>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</si>
  <si>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</si>
  <si>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</si>
  <si>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</si>
  <si>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</si>
  <si>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</si>
  <si>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</si>
  <si>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</si>
  <si>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</si>
  <si>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</si>
  <si>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</si>
  <si>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</si>
  <si>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</si>
  <si>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</si>
  <si>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</si>
  <si>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</si>
  <si>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</si>
  <si>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</si>
  <si>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</si>
  <si>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</si>
  <si>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</si>
  <si>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</si>
  <si>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</si>
  <si>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</si>
  <si>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</si>
  <si>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</si>
  <si>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</si>
  <si>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</si>
  <si>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</si>
  <si>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</si>
  <si>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</si>
  <si>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</si>
  <si>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</si>
  <si>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</si>
  <si>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</si>
  <si>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</si>
  <si>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</si>
  <si>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</si>
  <si>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</si>
  <si>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</si>
  <si>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</si>
  <si>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</si>
  <si>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</si>
  <si>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</si>
  <si>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</si>
  <si>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</si>
  <si>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</si>
  <si>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</si>
  <si>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</si>
  <si>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</si>
  <si>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</si>
  <si>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</si>
  <si>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</si>
  <si>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</si>
  <si>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</si>
  <si>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</si>
  <si>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</si>
  <si>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</si>
  <si>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</si>
  <si>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</si>
  <si>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</si>
  <si>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</si>
  <si>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</si>
  <si>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</si>
  <si>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</si>
  <si>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</si>
  <si>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</si>
  <si>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</si>
  <si>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</si>
  <si>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</si>
  <si>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</si>
  <si>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</si>
  <si>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</si>
  <si>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</si>
  <si>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</si>
  <si>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</si>
  <si>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</si>
  <si>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</si>
  <si>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</si>
  <si>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</si>
  <si>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</si>
  <si>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</si>
  <si>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</si>
  <si>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</si>
  <si>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</si>
  <si>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</si>
  <si>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</si>
  <si>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</si>
  <si>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</si>
  <si>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</si>
  <si>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</si>
  <si>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</si>
  <si>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</si>
  <si>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</si>
  <si>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</si>
  <si>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</si>
  <si>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</si>
  <si>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</si>
  <si>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</si>
  <si>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</si>
  <si>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</si>
  <si>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</si>
  <si>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</si>
  <si>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</si>
  <si>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</si>
  <si>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</si>
  <si>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</si>
  <si>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</si>
  <si>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</si>
  <si>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</si>
  <si>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</si>
  <si>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</si>
  <si>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</si>
  <si>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</si>
  <si>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</si>
  <si>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</si>
  <si>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</si>
  <si>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</si>
  <si>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</si>
  <si>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</si>
  <si>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</si>
  <si>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</si>
  <si>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</si>
  <si>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</si>
  <si>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</si>
  <si>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</si>
  <si>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</si>
  <si>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</si>
  <si>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</si>
  <si>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</si>
  <si>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</si>
  <si>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</si>
  <si>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</si>
  <si>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</si>
  <si>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</si>
  <si>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</si>
  <si>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</si>
  <si>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</si>
  <si>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</si>
  <si>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</si>
  <si>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</si>
  <si>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</si>
  <si>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</si>
  <si>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</si>
  <si>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</si>
  <si>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</si>
  <si>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</si>
  <si>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</si>
  <si>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</si>
  <si>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</si>
  <si>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</si>
  <si>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</si>
  <si>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</si>
  <si>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</si>
  <si>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</si>
  <si>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</si>
  <si>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</si>
  <si>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</si>
  <si>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</si>
  <si>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</si>
  <si>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</si>
  <si>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</si>
  <si>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</si>
  <si>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</si>
  <si>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</si>
  <si>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</si>
  <si>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</si>
  <si>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</si>
  <si>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</si>
  <si>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</si>
  <si>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</si>
  <si>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</si>
  <si>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</si>
  <si>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</si>
  <si>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</si>
  <si>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</si>
  <si>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</si>
  <si>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</si>
  <si>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</si>
  <si>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</si>
  <si>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</si>
  <si>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</si>
  <si>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</si>
  <si>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</si>
  <si>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</si>
  <si>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</si>
  <si>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</si>
  <si>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</si>
  <si>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</si>
  <si>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</si>
  <si>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</si>
  <si>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</si>
  <si>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</si>
  <si>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</si>
  <si>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</si>
  <si>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</si>
  <si>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</si>
  <si>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</si>
  <si>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</si>
  <si>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</si>
  <si>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</si>
  <si>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</si>
  <si>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</si>
  <si>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</si>
  <si>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</si>
  <si>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</si>
  <si>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</si>
  <si>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</si>
  <si>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</si>
  <si>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</si>
  <si>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</si>
  <si>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</si>
  <si>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</si>
  <si>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</si>
  <si>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</si>
  <si>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</si>
  <si>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</si>
  <si>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</si>
  <si>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</si>
  <si>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</si>
  <si>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</si>
  <si>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</si>
  <si>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</si>
  <si>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</si>
  <si>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</si>
  <si>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</si>
  <si>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</si>
  <si>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</si>
  <si>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</si>
  <si>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</si>
  <si>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</si>
  <si>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</si>
  <si>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</si>
  <si>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</si>
  <si>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</si>
  <si>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</si>
  <si>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</si>
  <si>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SWE Netz GmbH</t>
  </si>
  <si>
    <t>9870045600003</t>
  </si>
  <si>
    <t>Magdeburger Allee 34</t>
  </si>
  <si>
    <t>Erfurt</t>
  </si>
  <si>
    <t>Marco Schmaderer / Julia Nicolaus</t>
  </si>
  <si>
    <t>netznutzung@stadtwerke-erfurt.de</t>
  </si>
  <si>
    <t>0361/564-2341 oder -2357</t>
  </si>
  <si>
    <t>GASPOOLNH7004561</t>
  </si>
  <si>
    <t>DE_HEF04</t>
  </si>
  <si>
    <t>DE_HMF04</t>
  </si>
  <si>
    <t>DE_GKO04</t>
  </si>
  <si>
    <t>DE_GBD04</t>
  </si>
  <si>
    <t>DE_GHA04</t>
  </si>
  <si>
    <t>DE_GBA04</t>
  </si>
  <si>
    <t>DE_GGA04</t>
  </si>
  <si>
    <t>DE_GMK04</t>
  </si>
  <si>
    <t>DE_GGB04</t>
  </si>
  <si>
    <t>DE_GBH04</t>
  </si>
  <si>
    <t>DE_GPD04</t>
  </si>
  <si>
    <t>DE_GMF04</t>
  </si>
  <si>
    <t>DE_GWA04</t>
  </si>
  <si>
    <t>Erfurt-Flughafen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</si>
</sst>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49" fontId="0" fillId="33" borderId="17" xfId="0" applyNumberFormat="1" applyFont="1" applyFill="1" applyBorder="1" applyAlignment="1" applyProtection="1">
      <alignment horizontal="center"/>
      <protection locked="0"/>
    </xf>
    <xf numFmtId="49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1031829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43663</v>
      </c>
      <c r="E29" s="8"/>
      <c r="F29" s="8"/>
      <c r="G29" s="8"/>
      <c r="H29" s="8"/>
    </row>
    <row r="30" spans="2:12">
      <c r="B30" s="21" t="s">
        <v>350</v>
      </c>
      <c r="C30" s="339" t="s">
        <v>659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44000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44105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48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99086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SWE Netz GmbH</v>
      </c>
      <c r="E28" s="38"/>
      <c r="F28" s="11"/>
      <c r="G28" s="2"/>
    </row>
    <row r="29" spans="1:15">
      <c r="B29" s="15"/>
      <c r="C29" s="22" t="s">
        <v>398</v>
      </c>
      <c r="D29" s="45" t="s">
        <v>660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4" priority="3">
      <formula>IF(CELL("Zeile",D30)&lt;$D$25+CELL("Zeile",$D$29),1,0)</formula>
    </cfRule>
  </conditionalFormatting>
  <conditionalFormatting sqref="D30:D48">
    <cfRule type="expression" dxfId="63" priority="2">
      <formula>IF(CELL(D30)&lt;$D$27+27,1,0)</formula>
    </cfRule>
  </conditionalFormatting>
  <conditionalFormatting sqref="D29">
    <cfRule type="expression" dxfId="62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D40" sqref="D40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270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SWE Netz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SWE Netz GmbH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>9870045600003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44105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7" t="s">
        <v>623</v>
      </c>
      <c r="I13" s="277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667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371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582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3" t="s">
        <v>616</v>
      </c>
      <c r="I22" s="273" t="s">
        <v>617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3" t="s">
        <v>619</v>
      </c>
      <c r="I23" s="8" t="s">
        <v>615</v>
      </c>
      <c r="J23" s="8"/>
      <c r="K23" s="8"/>
      <c r="L23" s="274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3" t="s">
        <v>618</v>
      </c>
      <c r="I24" s="273" t="s">
        <v>625</v>
      </c>
      <c r="J24" s="8"/>
      <c r="K24" s="8"/>
      <c r="L24" s="276" t="s">
        <v>626</v>
      </c>
      <c r="M24" s="276" t="s">
        <v>628</v>
      </c>
      <c r="N24" s="276" t="s">
        <v>627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373</v>
      </c>
      <c r="C26" s="6" t="s">
        <v>585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629</v>
      </c>
      <c r="D27" s="42" t="s">
        <v>630</v>
      </c>
      <c r="E27" s="15"/>
      <c r="H27" s="309" t="s">
        <v>630</v>
      </c>
      <c r="I27" s="275" t="s">
        <v>631</v>
      </c>
      <c r="J27" s="275" t="s">
        <v>632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633</v>
      </c>
      <c r="I28" s="276" t="s">
        <v>634</v>
      </c>
      <c r="J28" s="276" t="s">
        <v>635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636</v>
      </c>
      <c r="I29" s="276" t="s">
        <v>637</v>
      </c>
      <c r="J29" s="276" t="s">
        <v>638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639</v>
      </c>
      <c r="I32" s="276" t="s">
        <v>640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641</v>
      </c>
      <c r="I33" s="273" t="s">
        <v>636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556</v>
      </c>
      <c r="C35" s="24" t="s">
        <v>500</v>
      </c>
      <c r="D35" s="269">
        <v>14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557</v>
      </c>
      <c r="C37" s="5" t="s">
        <v>368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369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663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conditionalFormatting sqref="D15">
    <cfRule type="expression" dxfId="61" priority="21">
      <formula>IF($D$11="Gaspool",1,0)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conditionalFormatting sqref="D16">
    <cfRule type="expression" dxfId="53" priority="1">
      <formula>IF($D$11="NCG",1,0)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4" zoomScale="70" zoomScaleNormal="70" workbookViewId="0">
      <selection activeCell="E25" sqref="E25"/>
    </sheetView>
  </sheetViews>
  <sheetFormatPr baseColWidth="10" defaultColWidth="0" defaultRowHeight="14.4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5" width="15.109375" style="129" customWidth="1"/>
    <col min="6" max="14" width="12.6640625" style="129" customWidth="1"/>
    <col min="15" max="15" width="34.109375" style="129" customWidth="1"/>
    <col min="16" max="16" width="7.33203125" style="17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tr">
        <f>E5</f>
        <v>SWE Netz GmbH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SWE Netz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349" t="str">
        <f>Netzbetreiber!D11</f>
        <v>9870045600003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f>Netzbetreiber!D6</f>
        <v>44105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1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 t="str">
        <f>INDEX('SLP-Verfahren'!D48:D62,'SLP-Temp-Gebiet #01'!F10)</f>
        <v>Erfurt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0" t="s">
        <v>591</v>
      </c>
      <c r="D13" s="350"/>
      <c r="E13" s="350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1" t="s">
        <v>452</v>
      </c>
      <c r="D14" s="351"/>
      <c r="E14" s="90" t="s">
        <v>453</v>
      </c>
      <c r="F14" s="267"/>
      <c r="G14" s="268"/>
      <c r="H14" s="51"/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51" t="s">
        <v>390</v>
      </c>
      <c r="D15" s="351"/>
      <c r="E15" s="90" t="s">
        <v>453</v>
      </c>
      <c r="F15" s="267"/>
      <c r="G15" s="268"/>
      <c r="H15" s="51"/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88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1</v>
      </c>
      <c r="E22" s="289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681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10554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511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1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0</v>
      </c>
      <c r="G29" s="179">
        <f t="shared" si="2"/>
        <v>0</v>
      </c>
      <c r="H29" s="179">
        <f t="shared" si="2"/>
        <v>0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1</v>
      </c>
      <c r="F31" s="288">
        <f>ROUND(F32/$D$32,4)</f>
        <v>0.5</v>
      </c>
      <c r="G31" s="288">
        <f t="shared" ref="G31:N31" si="3">ROUND(G32/$D$32,4)</f>
        <v>0.25</v>
      </c>
      <c r="H31" s="288">
        <f t="shared" si="3"/>
        <v>0.125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Erfurt-Flughafen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10554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7" t="str">
        <f>E26</f>
        <v>Sonstiges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1</v>
      </c>
    </row>
    <row r="63" spans="2:28" ht="15" customHeight="1">
      <c r="E63" s="179">
        <f>IF(E64&gt;$F$62,0,1)</f>
        <v>1</v>
      </c>
      <c r="F63" s="179">
        <f t="shared" ref="F63:N63" si="11">IF(F64&gt;$F$62,0,1)</f>
        <v>0</v>
      </c>
      <c r="G63" s="179">
        <f t="shared" si="11"/>
        <v>0</v>
      </c>
      <c r="H63" s="179">
        <f t="shared" si="11"/>
        <v>0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1</v>
      </c>
      <c r="F65" s="288">
        <f>ROUND(F66/$D$66,4)</f>
        <v>0.5</v>
      </c>
      <c r="G65" s="288">
        <f t="shared" ref="G65:N65" si="12">ROUND(G66/$D$66,4)</f>
        <v>0.25</v>
      </c>
      <c r="H65" s="288">
        <f t="shared" si="12"/>
        <v>0.125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540</v>
      </c>
      <c r="D66" s="187">
        <f>SUMPRODUCT(E66:N66,E63:N63)</f>
        <v>1</v>
      </c>
      <c r="E66" s="289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57" t="s">
        <v>519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57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3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52" t="s">
        <v>587</v>
      </c>
      <c r="D72" s="352"/>
      <c r="E72" s="352"/>
      <c r="F72" s="352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52" priority="36">
      <formula>IF(E$20&lt;=$F$18,1,0)</formula>
    </cfRule>
  </conditionalFormatting>
  <conditionalFormatting sqref="E32:N36">
    <cfRule type="expression" dxfId="51" priority="35">
      <formula>IF(E$30&lt;=$F$28,1,0)</formula>
    </cfRule>
  </conditionalFormatting>
  <conditionalFormatting sqref="E26:F26">
    <cfRule type="expression" dxfId="50" priority="34">
      <formula>IF(E$20&lt;=$F$18,1,0)</formula>
    </cfRule>
  </conditionalFormatting>
  <conditionalFormatting sqref="E26:N26">
    <cfRule type="expression" dxfId="49" priority="33">
      <formula>IF(E$20&lt;=$F$18,1,0)</formula>
    </cfRule>
  </conditionalFormatting>
  <conditionalFormatting sqref="F56:N59">
    <cfRule type="expression" dxfId="48" priority="30">
      <formula>IF(F$54&lt;=$F$52,1,0)</formula>
    </cfRule>
  </conditionalFormatting>
  <conditionalFormatting sqref="F60:N60">
    <cfRule type="expression" dxfId="47" priority="29">
      <formula>IF(F$54&lt;=$F$52,1,0)</formula>
    </cfRule>
  </conditionalFormatting>
  <conditionalFormatting sqref="F66:N68">
    <cfRule type="expression" dxfId="46" priority="23">
      <formula>IF(F$64&lt;=$F$62,1,0)</formula>
    </cfRule>
  </conditionalFormatting>
  <conditionalFormatting sqref="E65:N65 F70:N70 F66:N68">
    <cfRule type="expression" dxfId="45" priority="21">
      <formula>IF(E$64&gt;$F$62,1,0)</formula>
    </cfRule>
  </conditionalFormatting>
  <conditionalFormatting sqref="F56:N60">
    <cfRule type="expression" dxfId="44" priority="20">
      <formula>IF(F$54&gt;$F$52,1,0)</formula>
    </cfRule>
  </conditionalFormatting>
  <conditionalFormatting sqref="E21:N26">
    <cfRule type="expression" dxfId="43" priority="19">
      <formula>IF(E$20&gt;$F$18,1,0)</formula>
    </cfRule>
  </conditionalFormatting>
  <conditionalFormatting sqref="E32:N36">
    <cfRule type="expression" dxfId="42" priority="18">
      <formula>IF(E$30&gt;$F$28,1,0)</formula>
    </cfRule>
  </conditionalFormatting>
  <conditionalFormatting sqref="H11 H8:H9">
    <cfRule type="expression" dxfId="41" priority="17">
      <formula>IF($F$9=1,1,0)</formula>
    </cfRule>
  </conditionalFormatting>
  <conditionalFormatting sqref="E55:N55">
    <cfRule type="expression" dxfId="40" priority="16">
      <formula>IF(E$54&gt;$F$52,1,0)</formula>
    </cfRule>
  </conditionalFormatting>
  <conditionalFormatting sqref="E31:N31">
    <cfRule type="expression" dxfId="39" priority="15">
      <formula>IF(E$30&gt;$F$28,1,0)</formula>
    </cfRule>
  </conditionalFormatting>
  <conditionalFormatting sqref="F70:N70">
    <cfRule type="expression" dxfId="38" priority="14">
      <formula>IF(F$64&lt;=$F$62,1,0)</formula>
    </cfRule>
  </conditionalFormatting>
  <conditionalFormatting sqref="H10">
    <cfRule type="expression" dxfId="37" priority="13">
      <formula>IF($F$9=1,1,0)</formula>
    </cfRule>
  </conditionalFormatting>
  <conditionalFormatting sqref="F69:N69">
    <cfRule type="expression" dxfId="36" priority="10">
      <formula>IF(F$64&lt;=$F$62,1,0)</formula>
    </cfRule>
  </conditionalFormatting>
  <conditionalFormatting sqref="F69:N69">
    <cfRule type="expression" dxfId="35" priority="9">
      <formula>IF(F$64&gt;$F$62,1,0)</formula>
    </cfRule>
  </conditionalFormatting>
  <conditionalFormatting sqref="E66:E70">
    <cfRule type="expression" dxfId="34" priority="6">
      <formula>IF(E$30&lt;=$F$28,1,0)</formula>
    </cfRule>
  </conditionalFormatting>
  <conditionalFormatting sqref="E66:E70">
    <cfRule type="expression" dxfId="33" priority="5">
      <formula>IF(E$30&gt;$F$28,1,0)</formula>
    </cfRule>
  </conditionalFormatting>
  <conditionalFormatting sqref="E56:E59">
    <cfRule type="expression" dxfId="32" priority="4">
      <formula>IF(E$20&lt;=$F$18,1,0)</formula>
    </cfRule>
  </conditionalFormatting>
  <conditionalFormatting sqref="E60">
    <cfRule type="expression" dxfId="31" priority="3">
      <formula>IF(E$20&lt;=$F$18,1,0)</formula>
    </cfRule>
  </conditionalFormatting>
  <conditionalFormatting sqref="E60">
    <cfRule type="expression" dxfId="30" priority="2">
      <formula>IF(E$20&lt;=$F$18,1,0)</formula>
    </cfRule>
  </conditionalFormatting>
  <conditionalFormatting sqref="E56:E60">
    <cfRule type="expression" dxfId="29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7 E36:N36 F26:N26 E56:N60 E22:F22 I22:N22 F52 F62 G24:N24 G70:N70 E32:N33 E69:N69 F25:N25 F34:N34 F68:N68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6640625" style="129" customWidth="1"/>
    <col min="15" max="15" width="34.109375" style="129" customWidth="1"/>
    <col min="16" max="16" width="7.33203125" style="17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551</v>
      </c>
    </row>
    <row r="3" spans="1:56" ht="15" customHeight="1">
      <c r="B3" s="172"/>
    </row>
    <row r="4" spans="1:56" ht="14.4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 ht="14.4">
      <c r="B5" s="131"/>
      <c r="C5" s="56" t="s">
        <v>448</v>
      </c>
      <c r="D5" s="57"/>
      <c r="E5" s="58" t="str">
        <f>Netzbetreiber!D28</f>
        <v>SWE Netz GmbH</v>
      </c>
      <c r="F5" s="131"/>
      <c r="G5" s="131"/>
      <c r="H5" s="131"/>
      <c r="M5" s="131"/>
      <c r="N5" s="131"/>
      <c r="O5" s="131"/>
    </row>
    <row r="6" spans="1:56" ht="14.4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4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4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 ht="14.4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 ht="14.4">
      <c r="B10" s="131"/>
      <c r="C10" s="56" t="s">
        <v>592</v>
      </c>
      <c r="D10" s="131"/>
      <c r="E10" s="131"/>
      <c r="F10" s="300">
        <v>2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 ht="14.4">
      <c r="B11" s="131"/>
      <c r="C11" s="56" t="s">
        <v>610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ht="14.4"/>
    <row r="13" spans="1:56" ht="18" customHeight="1">
      <c r="B13" s="131"/>
      <c r="C13" s="350" t="s">
        <v>591</v>
      </c>
      <c r="D13" s="350"/>
      <c r="E13" s="350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1" t="s">
        <v>452</v>
      </c>
      <c r="D14" s="351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51" t="s">
        <v>390</v>
      </c>
      <c r="D15" s="351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4">
      <c r="B18" s="131"/>
      <c r="C18" s="56" t="s">
        <v>530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4">
      <c r="B21" s="184"/>
      <c r="C21" s="185" t="s">
        <v>532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4">
      <c r="B22" s="184"/>
      <c r="C22" s="185" t="s">
        <v>544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4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4">
      <c r="B24" s="184"/>
      <c r="C24" s="188" t="s">
        <v>527</v>
      </c>
      <c r="D24" s="189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4">
      <c r="B25" s="184"/>
      <c r="C25" s="188" t="s">
        <v>521</v>
      </c>
      <c r="D25" s="189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4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4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4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4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4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4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4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 ht="14.4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4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4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4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4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4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4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4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4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4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4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 ht="14.4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4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4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4">
      <c r="B52" s="131"/>
      <c r="C52" s="56" t="s">
        <v>550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4.4">
      <c r="B55" s="184"/>
      <c r="C55" s="185" t="s">
        <v>532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4">
      <c r="B56" s="184"/>
      <c r="C56" s="185" t="s">
        <v>544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4.4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4.4">
      <c r="B58" s="184"/>
      <c r="C58" s="188" t="s">
        <v>527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 ht="14.4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4.4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ht="14.4"/>
    <row r="62" spans="2:28" ht="14.4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4.4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4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ht="14.4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ht="14.4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ht="14.4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ht="14.4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ht="14.4"/>
    <row r="72" spans="2:15" ht="15.75" customHeight="1">
      <c r="C72" s="352" t="s">
        <v>587</v>
      </c>
      <c r="D72" s="352"/>
      <c r="E72" s="352"/>
      <c r="F72" s="352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7" zoomScale="80" zoomScaleNormal="80" workbookViewId="0">
      <selection activeCell="F25" sqref="F12:F25"/>
    </sheetView>
  </sheetViews>
  <sheetFormatPr baseColWidth="10" defaultColWidth="0" defaultRowHeight="14.4" zeroHeight="1"/>
  <cols>
    <col min="1" max="1" width="2.88671875" style="129" customWidth="1"/>
    <col min="2" max="2" width="8" style="129" customWidth="1"/>
    <col min="3" max="3" width="37.44140625" style="129" customWidth="1"/>
    <col min="4" max="4" width="10.6640625" style="129" customWidth="1"/>
    <col min="5" max="6" width="11.44140625" style="129" customWidth="1"/>
    <col min="8" max="8" width="12.6640625" style="129" customWidth="1"/>
    <col min="9" max="9" width="15.44140625" style="129" customWidth="1"/>
    <col min="10" max="11" width="12.6640625" style="129" customWidth="1"/>
    <col min="12" max="12" width="11.44140625" style="129" customWidth="1"/>
    <col min="13" max="16" width="12.6640625" style="129" customWidth="1"/>
    <col min="17" max="17" width="14.109375" style="129" customWidth="1"/>
    <col min="18" max="24" width="11.44140625" style="129" customWidth="1"/>
    <col min="25" max="25" width="20.109375" style="129" customWidth="1"/>
    <col min="26" max="26" width="11.44140625" style="129" customWidth="1"/>
    <col min="27" max="16384" width="11.44140625" style="129" hidden="1"/>
  </cols>
  <sheetData>
    <row r="1" spans="2:26" ht="75" customHeight="1" thickBot="1"/>
    <row r="2" spans="2:26" ht="23.4">
      <c r="B2" s="130" t="s">
        <v>367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372</v>
      </c>
      <c r="D5" s="54" t="str">
        <f>Netzbetreiber!$D$9</f>
        <v>SWE Netz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339</v>
      </c>
      <c r="D6" s="54" t="str">
        <f>Netzbetreiber!$D$28</f>
        <v>SWE Netz GmbH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>9870045600003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44105</v>
      </c>
      <c r="E8" s="131"/>
      <c r="F8" s="131"/>
      <c r="H8" s="129" t="s">
        <v>500</v>
      </c>
      <c r="J8" s="133">
        <f>COUNTA(D12:D100)</f>
        <v>14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3.8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6" t="s">
        <v>655</v>
      </c>
    </row>
    <row r="11" spans="2:26" ht="15" thickBot="1">
      <c r="B11" s="140" t="s">
        <v>501</v>
      </c>
      <c r="C11" s="141" t="s">
        <v>516</v>
      </c>
      <c r="D11" s="305" t="s">
        <v>248</v>
      </c>
      <c r="E11" s="165" t="s">
        <v>523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SWE Netz GmbH</v>
      </c>
      <c r="D12" s="63" t="s">
        <v>248</v>
      </c>
      <c r="E12" s="166" t="s">
        <v>668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5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SWE Netz GmbH</v>
      </c>
      <c r="D13" s="63" t="s">
        <v>248</v>
      </c>
      <c r="E13" s="166" t="s">
        <v>669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5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SWE Netz GmbH</v>
      </c>
      <c r="D14" s="63" t="s">
        <v>248</v>
      </c>
      <c r="E14" s="166" t="s">
        <v>670</v>
      </c>
      <c r="F14" s="308" t="str">
        <f>VLOOKUP($E14,'BDEW-Standard'!$B$3:$M$94,F$9,0)</f>
        <v>KO4</v>
      </c>
      <c r="H14" s="279">
        <f>ROUND(VLOOKUP($E14,'BDEW-Standard'!$B$3:$M$94,H$9,0),7)</f>
        <v>3.4428942999999999</v>
      </c>
      <c r="I14" s="279">
        <f>ROUND(VLOOKUP($E14,'BDEW-Standard'!$B$3:$M$94,I$9,0),7)</f>
        <v>-36.659050399999998</v>
      </c>
      <c r="J14" s="279">
        <f>ROUND(VLOOKUP($E14,'BDEW-Standard'!$B$3:$M$94,J$9,0),7)</f>
        <v>7.6083226000000002</v>
      </c>
      <c r="K14" s="279">
        <f>ROUND(VLOOKUP($E14,'BDEW-Standard'!$B$3:$M$94,K$9,0),7)</f>
        <v>7.4685000000000001E-2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0.97768382110526542</v>
      </c>
      <c r="R14" s="282">
        <f>ROUND(VLOOKUP(MID($E14,4,3),'Wochentag F(WT)'!$B$7:$J$22,R$9,0),4)</f>
        <v>1.0354000000000001</v>
      </c>
      <c r="S14" s="282">
        <f>ROUND(VLOOKUP(MID($E14,4,3),'Wochentag F(WT)'!$B$7:$J$22,S$9,0),4)</f>
        <v>1.0523</v>
      </c>
      <c r="T14" s="282">
        <f>ROUND(VLOOKUP(MID($E14,4,3),'Wochentag F(WT)'!$B$7:$J$22,T$9,0),4)</f>
        <v>1.0448999999999999</v>
      </c>
      <c r="U14" s="282">
        <f>ROUND(VLOOKUP(MID($E14,4,3),'Wochentag F(WT)'!$B$7:$J$22,U$9,0),4)</f>
        <v>1.0494000000000001</v>
      </c>
      <c r="V14" s="282">
        <f>ROUND(VLOOKUP(MID($E14,4,3),'Wochentag F(WT)'!$B$7:$J$22,V$9,0),4)</f>
        <v>0.98850000000000005</v>
      </c>
      <c r="W14" s="282">
        <f>ROUND(VLOOKUP(MID($E14,4,3),'Wochentag F(WT)'!$B$7:$J$22,W$9,0),4)</f>
        <v>0.88600000000000001</v>
      </c>
      <c r="X14" s="283">
        <f t="shared" si="2"/>
        <v>0.94349999999999934</v>
      </c>
      <c r="Y14" s="304"/>
      <c r="Z14" s="213"/>
    </row>
    <row r="15" spans="2:26" s="144" customFormat="1">
      <c r="B15" s="145">
        <v>4</v>
      </c>
      <c r="C15" s="146" t="str">
        <f t="shared" si="0"/>
        <v>SWE Netz GmbH</v>
      </c>
      <c r="D15" s="63" t="s">
        <v>248</v>
      </c>
      <c r="E15" s="166" t="s">
        <v>671</v>
      </c>
      <c r="F15" s="308" t="str">
        <f>VLOOKUP($E15,'BDEW-Standard'!$B$3:$M$94,F$9,0)</f>
        <v>BD4</v>
      </c>
      <c r="H15" s="279">
        <f>ROUND(VLOOKUP($E15,'BDEW-Standard'!$B$3:$M$94,H$9,0),7)</f>
        <v>3.75</v>
      </c>
      <c r="I15" s="279">
        <f>ROUND(VLOOKUP($E15,'BDEW-Standard'!$B$3:$M$94,I$9,0),7)</f>
        <v>-37.5</v>
      </c>
      <c r="J15" s="279">
        <f>ROUND(VLOOKUP($E15,'BDEW-Standard'!$B$3:$M$94,J$9,0),7)</f>
        <v>6.8</v>
      </c>
      <c r="K15" s="279">
        <f>ROUND(VLOOKUP($E15,'BDEW-Standard'!$B$3:$M$94,K$9,0),7)</f>
        <v>6.0911300000000002E-2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1.0126136468627658</v>
      </c>
      <c r="R15" s="282">
        <f>ROUND(VLOOKUP(MID($E15,4,3),'Wochentag F(WT)'!$B$7:$J$22,R$9,0),4)</f>
        <v>1.1052</v>
      </c>
      <c r="S15" s="282">
        <f>ROUND(VLOOKUP(MID($E15,4,3),'Wochentag F(WT)'!$B$7:$J$22,S$9,0),4)</f>
        <v>1.0857000000000001</v>
      </c>
      <c r="T15" s="282">
        <f>ROUND(VLOOKUP(MID($E15,4,3),'Wochentag F(WT)'!$B$7:$J$22,T$9,0),4)</f>
        <v>1.0378000000000001</v>
      </c>
      <c r="U15" s="282">
        <f>ROUND(VLOOKUP(MID($E15,4,3),'Wochentag F(WT)'!$B$7:$J$22,U$9,0),4)</f>
        <v>1.0622</v>
      </c>
      <c r="V15" s="282">
        <f>ROUND(VLOOKUP(MID($E15,4,3),'Wochentag F(WT)'!$B$7:$J$22,V$9,0),4)</f>
        <v>1.0266</v>
      </c>
      <c r="W15" s="282">
        <f>ROUND(VLOOKUP(MID($E15,4,3),'Wochentag F(WT)'!$B$7:$J$22,W$9,0),4)</f>
        <v>0.76290000000000002</v>
      </c>
      <c r="X15" s="283">
        <f t="shared" si="2"/>
        <v>0.91959999999999997</v>
      </c>
      <c r="Y15" s="304"/>
      <c r="Z15" s="213"/>
    </row>
    <row r="16" spans="2:26" s="144" customFormat="1">
      <c r="B16" s="145">
        <v>5</v>
      </c>
      <c r="C16" s="146" t="str">
        <f t="shared" si="0"/>
        <v>SWE Netz GmbH</v>
      </c>
      <c r="D16" s="63" t="s">
        <v>248</v>
      </c>
      <c r="E16" s="166" t="s">
        <v>672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SWE Netz GmbH</v>
      </c>
      <c r="D17" s="63" t="s">
        <v>248</v>
      </c>
      <c r="E17" s="166" t="s">
        <v>673</v>
      </c>
      <c r="F17" s="308" t="str">
        <f>VLOOKUP($E17,'BDEW-Standard'!$B$3:$M$94,F$9,0)</f>
        <v>BA4</v>
      </c>
      <c r="H17" s="279">
        <f>ROUND(VLOOKUP($E17,'BDEW-Standard'!$B$3:$M$94,H$9,0),7)</f>
        <v>0.93158890000000005</v>
      </c>
      <c r="I17" s="279">
        <f>ROUND(VLOOKUP($E17,'BDEW-Standard'!$B$3:$M$94,I$9,0),7)</f>
        <v>-33.35</v>
      </c>
      <c r="J17" s="279">
        <f>ROUND(VLOOKUP($E17,'BDEW-Standard'!$B$3:$M$94,J$9,0),7)</f>
        <v>5.7212303000000002</v>
      </c>
      <c r="K17" s="279">
        <f>ROUND(VLOOKUP($E17,'BDEW-Standard'!$B$3:$M$94,K$9,0),7)</f>
        <v>0.66564939999999995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1.0766391850538448</v>
      </c>
      <c r="R17" s="282">
        <f>ROUND(VLOOKUP(MID($E17,4,3),'Wochentag F(WT)'!$B$7:$J$22,R$9,0),4)</f>
        <v>1.0848</v>
      </c>
      <c r="S17" s="282">
        <f>ROUND(VLOOKUP(MID($E17,4,3),'Wochentag F(WT)'!$B$7:$J$22,S$9,0),4)</f>
        <v>1.1211</v>
      </c>
      <c r="T17" s="282">
        <f>ROUND(VLOOKUP(MID($E17,4,3),'Wochentag F(WT)'!$B$7:$J$22,T$9,0),4)</f>
        <v>1.0769</v>
      </c>
      <c r="U17" s="282">
        <f>ROUND(VLOOKUP(MID($E17,4,3),'Wochentag F(WT)'!$B$7:$J$22,U$9,0),4)</f>
        <v>1.1353</v>
      </c>
      <c r="V17" s="282">
        <f>ROUND(VLOOKUP(MID($E17,4,3),'Wochentag F(WT)'!$B$7:$J$22,V$9,0),4)</f>
        <v>1.1402000000000001</v>
      </c>
      <c r="W17" s="282">
        <f>ROUND(VLOOKUP(MID($E17,4,3),'Wochentag F(WT)'!$B$7:$J$22,W$9,0),4)</f>
        <v>0.48520000000000002</v>
      </c>
      <c r="X17" s="283">
        <f t="shared" si="2"/>
        <v>0.95650000000000013</v>
      </c>
      <c r="Y17" s="304"/>
      <c r="Z17" s="213"/>
    </row>
    <row r="18" spans="2:26" s="144" customFormat="1">
      <c r="B18" s="145">
        <v>7</v>
      </c>
      <c r="C18" s="146" t="str">
        <f t="shared" si="0"/>
        <v>SWE Netz GmbH</v>
      </c>
      <c r="D18" s="63" t="s">
        <v>248</v>
      </c>
      <c r="E18" s="166" t="s">
        <v>674</v>
      </c>
      <c r="F18" s="308" t="str">
        <f>VLOOKUP($E18,'BDEW-Standard'!$B$3:$M$94,F$9,0)</f>
        <v>GA4</v>
      </c>
      <c r="H18" s="279">
        <f>ROUND(VLOOKUP($E18,'BDEW-Standard'!$B$3:$M$94,H$9,0),7)</f>
        <v>2.8195655999999998</v>
      </c>
      <c r="I18" s="279">
        <f>ROUND(VLOOKUP($E18,'BDEW-Standard'!$B$3:$M$94,I$9,0),7)</f>
        <v>-36</v>
      </c>
      <c r="J18" s="279">
        <f>ROUND(VLOOKUP($E18,'BDEW-Standard'!$B$3:$M$94,J$9,0),7)</f>
        <v>7.7368518000000002</v>
      </c>
      <c r="K18" s="279">
        <f>ROUND(VLOOKUP($E18,'BDEW-Standard'!$B$3:$M$94,K$9,0),7)</f>
        <v>0.157281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0.96576337685759206</v>
      </c>
      <c r="R18" s="282">
        <f>ROUND(VLOOKUP(MID($E18,4,3),'Wochentag F(WT)'!$B$7:$J$22,R$9,0),4)</f>
        <v>0.93220000000000003</v>
      </c>
      <c r="S18" s="282">
        <f>ROUND(VLOOKUP(MID($E18,4,3),'Wochentag F(WT)'!$B$7:$J$22,S$9,0),4)</f>
        <v>0.98939999999999995</v>
      </c>
      <c r="T18" s="282">
        <f>ROUND(VLOOKUP(MID($E18,4,3),'Wochentag F(WT)'!$B$7:$J$22,T$9,0),4)</f>
        <v>1.0033000000000001</v>
      </c>
      <c r="U18" s="282">
        <f>ROUND(VLOOKUP(MID($E18,4,3),'Wochentag F(WT)'!$B$7:$J$22,U$9,0),4)</f>
        <v>1.0108999999999999</v>
      </c>
      <c r="V18" s="282">
        <f>ROUND(VLOOKUP(MID($E18,4,3),'Wochentag F(WT)'!$B$7:$J$22,V$9,0),4)</f>
        <v>1.018</v>
      </c>
      <c r="W18" s="282">
        <f>ROUND(VLOOKUP(MID($E18,4,3),'Wochentag F(WT)'!$B$7:$J$22,W$9,0),4)</f>
        <v>1.0356000000000001</v>
      </c>
      <c r="X18" s="283">
        <f t="shared" si="2"/>
        <v>1.0106000000000002</v>
      </c>
      <c r="Y18" s="304"/>
      <c r="Z18" s="213"/>
    </row>
    <row r="19" spans="2:26" s="144" customFormat="1">
      <c r="B19" s="145">
        <v>8</v>
      </c>
      <c r="C19" s="146" t="str">
        <f t="shared" si="0"/>
        <v>SWE Netz GmbH</v>
      </c>
      <c r="D19" s="63" t="s">
        <v>248</v>
      </c>
      <c r="E19" s="166" t="s">
        <v>675</v>
      </c>
      <c r="F19" s="308" t="str">
        <f>VLOOKUP($E19,'BDEW-Standard'!$B$3:$M$94,F$9,0)</f>
        <v>MK4</v>
      </c>
      <c r="H19" s="279">
        <f>ROUND(VLOOKUP($E19,'BDEW-Standard'!$B$3:$M$94,H$9,0),7)</f>
        <v>3.1177248</v>
      </c>
      <c r="I19" s="279">
        <f>ROUND(VLOOKUP($E19,'BDEW-Standard'!$B$3:$M$94,I$9,0),7)</f>
        <v>-35.871506199999999</v>
      </c>
      <c r="J19" s="279">
        <f>ROUND(VLOOKUP($E19,'BDEW-Standard'!$B$3:$M$94,J$9,0),7)</f>
        <v>7.5186828999999999</v>
      </c>
      <c r="K19" s="279">
        <f>ROUND(VLOOKUP($E19,'BDEW-Standard'!$B$3:$M$94,K$9,0),7)</f>
        <v>3.4330100000000002E-2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0.9622064996731321</v>
      </c>
      <c r="R19" s="282">
        <f>ROUND(VLOOKUP(MID($E19,4,3),'Wochentag F(WT)'!$B$7:$J$22,R$9,0),4)</f>
        <v>1.0699000000000001</v>
      </c>
      <c r="S19" s="282">
        <f>ROUND(VLOOKUP(MID($E19,4,3),'Wochentag F(WT)'!$B$7:$J$22,S$9,0),4)</f>
        <v>1.0365</v>
      </c>
      <c r="T19" s="282">
        <f>ROUND(VLOOKUP(MID($E19,4,3),'Wochentag F(WT)'!$B$7:$J$22,T$9,0),4)</f>
        <v>0.99329999999999996</v>
      </c>
      <c r="U19" s="282">
        <f>ROUND(VLOOKUP(MID($E19,4,3),'Wochentag F(WT)'!$B$7:$J$22,U$9,0),4)</f>
        <v>0.99480000000000002</v>
      </c>
      <c r="V19" s="282">
        <f>ROUND(VLOOKUP(MID($E19,4,3),'Wochentag F(WT)'!$B$7:$J$22,V$9,0),4)</f>
        <v>1.0659000000000001</v>
      </c>
      <c r="W19" s="282">
        <f>ROUND(VLOOKUP(MID($E19,4,3),'Wochentag F(WT)'!$B$7:$J$22,W$9,0),4)</f>
        <v>0.93620000000000003</v>
      </c>
      <c r="X19" s="283">
        <f t="shared" si="2"/>
        <v>0.90339999999999954</v>
      </c>
      <c r="Y19" s="304"/>
      <c r="Z19" s="213"/>
    </row>
    <row r="20" spans="2:26" s="144" customFormat="1">
      <c r="B20" s="145">
        <v>9</v>
      </c>
      <c r="C20" s="146" t="str">
        <f t="shared" si="0"/>
        <v>SWE Netz GmbH</v>
      </c>
      <c r="D20" s="63" t="s">
        <v>248</v>
      </c>
      <c r="E20" s="166" t="s">
        <v>676</v>
      </c>
      <c r="F20" s="308" t="str">
        <f>VLOOKUP($E20,'BDEW-Standard'!$B$3:$M$94,F$9,0)</f>
        <v>GB4</v>
      </c>
      <c r="H20" s="279">
        <f>ROUND(VLOOKUP($E20,'BDEW-Standard'!$B$3:$M$94,H$9,0),7)</f>
        <v>3.6017736</v>
      </c>
      <c r="I20" s="279">
        <f>ROUND(VLOOKUP($E20,'BDEW-Standard'!$B$3:$M$94,I$9,0),7)</f>
        <v>-37.882536799999997</v>
      </c>
      <c r="J20" s="279">
        <f>ROUND(VLOOKUP($E20,'BDEW-Standard'!$B$3:$M$94,J$9,0),7)</f>
        <v>6.9836070000000001</v>
      </c>
      <c r="K20" s="279">
        <f>ROUND(VLOOKUP($E20,'BDEW-Standard'!$B$3:$M$94,K$9,0),7)</f>
        <v>5.4826199999999999E-2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0.90239375975311864</v>
      </c>
      <c r="R20" s="282">
        <f>ROUND(VLOOKUP(MID($E20,4,3),'Wochentag F(WT)'!$B$7:$J$22,R$9,0),4)</f>
        <v>0.98970000000000002</v>
      </c>
      <c r="S20" s="282">
        <f>ROUND(VLOOKUP(MID($E20,4,3),'Wochentag F(WT)'!$B$7:$J$22,S$9,0),4)</f>
        <v>0.9627</v>
      </c>
      <c r="T20" s="282">
        <f>ROUND(VLOOKUP(MID($E20,4,3),'Wochentag F(WT)'!$B$7:$J$22,T$9,0),4)</f>
        <v>1.0507</v>
      </c>
      <c r="U20" s="282">
        <f>ROUND(VLOOKUP(MID($E20,4,3),'Wochentag F(WT)'!$B$7:$J$22,U$9,0),4)</f>
        <v>1.0551999999999999</v>
      </c>
      <c r="V20" s="282">
        <f>ROUND(VLOOKUP(MID($E20,4,3),'Wochentag F(WT)'!$B$7:$J$22,V$9,0),4)</f>
        <v>1.0297000000000001</v>
      </c>
      <c r="W20" s="282">
        <f>ROUND(VLOOKUP(MID($E20,4,3),'Wochentag F(WT)'!$B$7:$J$22,W$9,0),4)</f>
        <v>0.97670000000000001</v>
      </c>
      <c r="X20" s="283">
        <f t="shared" si="2"/>
        <v>0.9352999999999998</v>
      </c>
      <c r="Y20" s="304"/>
      <c r="Z20" s="213"/>
    </row>
    <row r="21" spans="2:26" s="144" customFormat="1">
      <c r="B21" s="145">
        <v>10</v>
      </c>
      <c r="C21" s="146" t="str">
        <f t="shared" si="0"/>
        <v>SWE Netz GmbH</v>
      </c>
      <c r="D21" s="63" t="s">
        <v>248</v>
      </c>
      <c r="E21" s="166" t="s">
        <v>677</v>
      </c>
      <c r="F21" s="308" t="str">
        <f>VLOOKUP($E21,'BDEW-Standard'!$B$3:$M$94,F$9,0)</f>
        <v>BH4</v>
      </c>
      <c r="H21" s="279">
        <f>ROUND(VLOOKUP($E21,'BDEW-Standard'!$B$3:$M$94,H$9,0),7)</f>
        <v>2.4595180999999999</v>
      </c>
      <c r="I21" s="279">
        <f>ROUND(VLOOKUP($E21,'BDEW-Standard'!$B$3:$M$94,I$9,0),7)</f>
        <v>-35.253212400000002</v>
      </c>
      <c r="J21" s="279">
        <f>ROUND(VLOOKUP($E21,'BDEW-Standard'!$B$3:$M$94,J$9,0),7)</f>
        <v>6.0587001000000003</v>
      </c>
      <c r="K21" s="279">
        <f>ROUND(VLOOKUP($E21,'BDEW-Standard'!$B$3:$M$94,K$9,0),7)</f>
        <v>0.16473699999999999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1.043802057143173</v>
      </c>
      <c r="R21" s="282">
        <f>ROUND(VLOOKUP(MID($E21,4,3),'Wochentag F(WT)'!$B$7:$J$22,R$9,0),4)</f>
        <v>0.97670000000000001</v>
      </c>
      <c r="S21" s="282">
        <f>ROUND(VLOOKUP(MID($E21,4,3),'Wochentag F(WT)'!$B$7:$J$22,S$9,0),4)</f>
        <v>1.0388999999999999</v>
      </c>
      <c r="T21" s="282">
        <f>ROUND(VLOOKUP(MID($E21,4,3),'Wochentag F(WT)'!$B$7:$J$22,T$9,0),4)</f>
        <v>1.0027999999999999</v>
      </c>
      <c r="U21" s="282">
        <f>ROUND(VLOOKUP(MID($E21,4,3),'Wochentag F(WT)'!$B$7:$J$22,U$9,0),4)</f>
        <v>1.0162</v>
      </c>
      <c r="V21" s="282">
        <f>ROUND(VLOOKUP(MID($E21,4,3),'Wochentag F(WT)'!$B$7:$J$22,V$9,0),4)</f>
        <v>1.0024</v>
      </c>
      <c r="W21" s="282">
        <f>ROUND(VLOOKUP(MID($E21,4,3),'Wochentag F(WT)'!$B$7:$J$22,W$9,0),4)</f>
        <v>1.0043</v>
      </c>
      <c r="X21" s="283">
        <f t="shared" si="2"/>
        <v>0.95870000000000122</v>
      </c>
      <c r="Y21" s="304"/>
      <c r="Z21" s="213"/>
    </row>
    <row r="22" spans="2:26" s="144" customFormat="1">
      <c r="B22" s="145">
        <v>11</v>
      </c>
      <c r="C22" s="146" t="str">
        <f t="shared" si="0"/>
        <v>SWE Netz GmbH</v>
      </c>
      <c r="D22" s="63" t="s">
        <v>248</v>
      </c>
      <c r="E22" s="166" t="s">
        <v>678</v>
      </c>
      <c r="F22" s="308" t="str">
        <f>VLOOKUP($E22,'BDEW-Standard'!$B$3:$M$94,F$9,0)</f>
        <v>PD4</v>
      </c>
      <c r="H22" s="279">
        <f>ROUND(VLOOKUP($E22,'BDEW-Standard'!$B$3:$M$94,H$9,0),7)</f>
        <v>3.85</v>
      </c>
      <c r="I22" s="279">
        <f>ROUND(VLOOKUP($E22,'BDEW-Standard'!$B$3:$M$94,I$9,0),7)</f>
        <v>-37</v>
      </c>
      <c r="J22" s="279">
        <f>ROUND(VLOOKUP($E22,'BDEW-Standard'!$B$3:$M$94,J$9,0),7)</f>
        <v>10.2405021</v>
      </c>
      <c r="K22" s="279">
        <f>ROUND(VLOOKUP($E22,'BDEW-Standard'!$B$3:$M$94,K$9,0),7)</f>
        <v>4.6924300000000002E-2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0.75691065279879233</v>
      </c>
      <c r="R22" s="282">
        <f>ROUND(VLOOKUP(MID($E22,4,3),'Wochentag F(WT)'!$B$7:$J$22,R$9,0),4)</f>
        <v>1.0214000000000001</v>
      </c>
      <c r="S22" s="282">
        <f>ROUND(VLOOKUP(MID($E22,4,3),'Wochentag F(WT)'!$B$7:$J$22,S$9,0),4)</f>
        <v>1.0866</v>
      </c>
      <c r="T22" s="282">
        <f>ROUND(VLOOKUP(MID($E22,4,3),'Wochentag F(WT)'!$B$7:$J$22,T$9,0),4)</f>
        <v>1.0720000000000001</v>
      </c>
      <c r="U22" s="282">
        <f>ROUND(VLOOKUP(MID($E22,4,3),'Wochentag F(WT)'!$B$7:$J$22,U$9,0),4)</f>
        <v>1.0557000000000001</v>
      </c>
      <c r="V22" s="282">
        <f>ROUND(VLOOKUP(MID($E22,4,3),'Wochentag F(WT)'!$B$7:$J$22,V$9,0),4)</f>
        <v>1.0117</v>
      </c>
      <c r="W22" s="282">
        <f>ROUND(VLOOKUP(MID($E22,4,3),'Wochentag F(WT)'!$B$7:$J$22,W$9,0),4)</f>
        <v>0.90010000000000001</v>
      </c>
      <c r="X22" s="283">
        <f t="shared" si="2"/>
        <v>0.85249999999999915</v>
      </c>
      <c r="Y22" s="304"/>
      <c r="Z22" s="213"/>
    </row>
    <row r="23" spans="2:26" s="144" customFormat="1">
      <c r="B23" s="145">
        <v>12</v>
      </c>
      <c r="C23" s="146" t="str">
        <f t="shared" si="0"/>
        <v>SWE Netz GmbH</v>
      </c>
      <c r="D23" s="63" t="s">
        <v>248</v>
      </c>
      <c r="E23" s="166" t="s">
        <v>679</v>
      </c>
      <c r="F23" s="308" t="str">
        <f>VLOOKUP($E23,'BDEW-Standard'!$B$3:$M$94,F$9,0)</f>
        <v>MF4</v>
      </c>
      <c r="H23" s="279">
        <f>ROUND(VLOOKUP($E23,'BDEW-Standard'!$B$3:$M$94,H$9,0),7)</f>
        <v>2.5187775000000001</v>
      </c>
      <c r="I23" s="279">
        <f>ROUND(VLOOKUP($E23,'BDEW-Standard'!$B$3:$M$94,I$9,0),7)</f>
        <v>-35.033375399999997</v>
      </c>
      <c r="J23" s="279">
        <f>ROUND(VLOOKUP($E23,'BDEW-Standard'!$B$3:$M$94,J$9,0),7)</f>
        <v>6.2240634000000004</v>
      </c>
      <c r="K23" s="279">
        <f>ROUND(VLOOKUP($E23,'BDEW-Standard'!$B$3:$M$94,K$9,0),7)</f>
        <v>0.10107820000000001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1.0146273685996503</v>
      </c>
      <c r="R23" s="282">
        <f>ROUND(VLOOKUP(MID($E23,4,3),'Wochentag F(WT)'!$B$7:$J$22,R$9,0),4)</f>
        <v>1.0354000000000001</v>
      </c>
      <c r="S23" s="282">
        <f>ROUND(VLOOKUP(MID($E23,4,3),'Wochentag F(WT)'!$B$7:$J$22,S$9,0),4)</f>
        <v>1.0523</v>
      </c>
      <c r="T23" s="282">
        <f>ROUND(VLOOKUP(MID($E23,4,3),'Wochentag F(WT)'!$B$7:$J$22,T$9,0),4)</f>
        <v>1.0448999999999999</v>
      </c>
      <c r="U23" s="282">
        <f>ROUND(VLOOKUP(MID($E23,4,3),'Wochentag F(WT)'!$B$7:$J$22,U$9,0),4)</f>
        <v>1.0494000000000001</v>
      </c>
      <c r="V23" s="282">
        <f>ROUND(VLOOKUP(MID($E23,4,3),'Wochentag F(WT)'!$B$7:$J$22,V$9,0),4)</f>
        <v>0.98850000000000005</v>
      </c>
      <c r="W23" s="282">
        <f>ROUND(VLOOKUP(MID($E23,4,3),'Wochentag F(WT)'!$B$7:$J$22,W$9,0),4)</f>
        <v>0.88600000000000001</v>
      </c>
      <c r="X23" s="283">
        <f t="shared" si="2"/>
        <v>0.94349999999999934</v>
      </c>
      <c r="Y23" s="304"/>
      <c r="Z23" s="213"/>
    </row>
    <row r="24" spans="2:26" s="144" customFormat="1">
      <c r="B24" s="145">
        <v>13</v>
      </c>
      <c r="C24" s="146" t="str">
        <f t="shared" si="0"/>
        <v>SWE Netz GmbH</v>
      </c>
      <c r="D24" s="63" t="s">
        <v>248</v>
      </c>
      <c r="E24" s="166" t="s">
        <v>680</v>
      </c>
      <c r="F24" s="308" t="str">
        <f>VLOOKUP($E24,'BDEW-Standard'!$B$3:$M$94,F$9,0)</f>
        <v>WA4</v>
      </c>
      <c r="H24" s="279">
        <f>ROUND(VLOOKUP($E24,'BDEW-Standard'!$B$3:$M$94,H$9,0),7)</f>
        <v>1.0535874999999999</v>
      </c>
      <c r="I24" s="279">
        <f>ROUND(VLOOKUP($E24,'BDEW-Standard'!$B$3:$M$94,I$9,0),7)</f>
        <v>-35.299999999999997</v>
      </c>
      <c r="J24" s="279">
        <f>ROUND(VLOOKUP($E24,'BDEW-Standard'!$B$3:$M$94,J$9,0),7)</f>
        <v>4.8662747</v>
      </c>
      <c r="K24" s="279">
        <f>ROUND(VLOOKUP($E24,'BDEW-Standard'!$B$3:$M$94,K$9,0),7)</f>
        <v>0.68110420000000005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1.0844348950990992</v>
      </c>
      <c r="R24" s="282">
        <f>ROUND(VLOOKUP(MID($E24,4,3),'Wochentag F(WT)'!$B$7:$J$22,R$9,0),4)</f>
        <v>1.2457</v>
      </c>
      <c r="S24" s="282">
        <f>ROUND(VLOOKUP(MID($E24,4,3),'Wochentag F(WT)'!$B$7:$J$22,S$9,0),4)</f>
        <v>1.2615000000000001</v>
      </c>
      <c r="T24" s="282">
        <f>ROUND(VLOOKUP(MID($E24,4,3),'Wochentag F(WT)'!$B$7:$J$22,T$9,0),4)</f>
        <v>1.2706999999999999</v>
      </c>
      <c r="U24" s="282">
        <f>ROUND(VLOOKUP(MID($E24,4,3),'Wochentag F(WT)'!$B$7:$J$22,U$9,0),4)</f>
        <v>1.2430000000000001</v>
      </c>
      <c r="V24" s="282">
        <f>ROUND(VLOOKUP(MID($E24,4,3),'Wochentag F(WT)'!$B$7:$J$22,V$9,0),4)</f>
        <v>1.1275999999999999</v>
      </c>
      <c r="W24" s="282">
        <f>ROUND(VLOOKUP(MID($E24,4,3),'Wochentag F(WT)'!$B$7:$J$22,W$9,0),4)</f>
        <v>0.38769999999999999</v>
      </c>
      <c r="X24" s="283">
        <f t="shared" si="2"/>
        <v>0.46379999999999999</v>
      </c>
      <c r="Y24" s="304"/>
      <c r="Z24" s="213"/>
    </row>
    <row r="25" spans="2:26" s="144" customFormat="1">
      <c r="B25" s="145">
        <v>14</v>
      </c>
      <c r="C25" s="146" t="str">
        <f t="shared" si="0"/>
        <v>SWE Netz GmbH</v>
      </c>
      <c r="D25" s="63" t="s">
        <v>248</v>
      </c>
      <c r="E25" s="166" t="s">
        <v>4</v>
      </c>
      <c r="F25" s="308" t="str">
        <f>VLOOKUP($E25,'BDEW-Standard'!$B$3:$M$94,F$9,0)</f>
        <v>HK3</v>
      </c>
      <c r="H25" s="279">
        <f>ROUND(VLOOKUP($E25,'BDEW-Standard'!$B$3:$M$94,H$9,0),7)</f>
        <v>0.40409319999999999</v>
      </c>
      <c r="I25" s="279">
        <f>ROUND(VLOOKUP($E25,'BDEW-Standard'!$B$3:$M$94,I$9,0),7)</f>
        <v>-24.439296800000001</v>
      </c>
      <c r="J25" s="279">
        <f>ROUND(VLOOKUP($E25,'BDEW-Standard'!$B$3:$M$94,J$9,0),7)</f>
        <v>6.5718174999999999</v>
      </c>
      <c r="K25" s="279">
        <f>ROUND(VLOOKUP($E25,'BDEW-Standard'!$B$3:$M$94,K$9,0),7)</f>
        <v>0.71077100000000004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1.0561214000512988</v>
      </c>
      <c r="R25" s="282">
        <f>ROUND(VLOOKUP(MID($E25,4,3),'Wochentag F(WT)'!$B$7:$J$22,R$9,0),4)</f>
        <v>1</v>
      </c>
      <c r="S25" s="282">
        <f>ROUND(VLOOKUP(MID($E25,4,3),'Wochentag F(WT)'!$B$7:$J$22,S$9,0),4)</f>
        <v>1</v>
      </c>
      <c r="T25" s="282">
        <f>ROUND(VLOOKUP(MID($E25,4,3),'Wochentag F(WT)'!$B$7:$J$22,T$9,0),4)</f>
        <v>1</v>
      </c>
      <c r="U25" s="282">
        <f>ROUND(VLOOKUP(MID($E25,4,3),'Wochentag F(WT)'!$B$7:$J$22,U$9,0),4)</f>
        <v>1</v>
      </c>
      <c r="V25" s="282">
        <f>ROUND(VLOOKUP(MID($E25,4,3),'Wochentag F(WT)'!$B$7:$J$22,V$9,0),4)</f>
        <v>1</v>
      </c>
      <c r="W25" s="282">
        <f>ROUND(VLOOKUP(MID($E25,4,3),'Wochentag F(WT)'!$B$7:$J$22,W$9,0),4)</f>
        <v>1</v>
      </c>
      <c r="X25" s="283">
        <f t="shared" si="2"/>
        <v>1</v>
      </c>
      <c r="Y25" s="304"/>
      <c r="Z25" s="213"/>
    </row>
    <row r="26" spans="2:26" s="144" customFormat="1">
      <c r="B26" s="145">
        <v>15</v>
      </c>
      <c r="C26" s="146" t="str">
        <f t="shared" si="0"/>
        <v>SWE Netz GmbH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SWE Netz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SWE Netz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SWE Netz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SWE Netz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SWE Netz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SWE Netz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SWE Netz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SWE Netz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SWE Netz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SWE Netz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SWE Netz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SWE Netz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SWE Netz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SWE Netz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SWE Netz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9"/>
    <col min="4" max="4" width="19.88671875" style="129" customWidth="1"/>
    <col min="5" max="9" width="16" style="129" customWidth="1"/>
    <col min="10" max="10" width="15.109375" style="129" customWidth="1"/>
    <col min="11" max="12" width="16" style="129" customWidth="1"/>
    <col min="13" max="13" width="15.33203125" style="129" customWidth="1"/>
    <col min="14" max="16384" width="11.44140625" style="129"/>
  </cols>
  <sheetData>
    <row r="1" spans="1:14">
      <c r="A1" s="216" t="s">
        <v>349</v>
      </c>
      <c r="B1" s="217">
        <v>42173</v>
      </c>
      <c r="D1" s="132" t="s">
        <v>458</v>
      </c>
      <c r="F1" s="218" t="s">
        <v>552</v>
      </c>
      <c r="N1" s="219"/>
    </row>
    <row r="2" spans="1:14" ht="26.4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topLeftCell="A4" zoomScale="80" zoomScaleNormal="80" workbookViewId="0">
      <selection activeCell="K33" sqref="K33"/>
    </sheetView>
  </sheetViews>
  <sheetFormatPr baseColWidth="10" defaultColWidth="0" defaultRowHeight="13.2" zeroHeight="1"/>
  <cols>
    <col min="1" max="1" width="2.88671875" style="76" customWidth="1"/>
    <col min="2" max="2" width="15.109375" style="76" customWidth="1"/>
    <col min="3" max="3" width="14.6640625" style="76" customWidth="1"/>
    <col min="4" max="4" width="5.88671875" style="76" hidden="1" customWidth="1"/>
    <col min="5" max="5" width="5.109375" style="76" customWidth="1"/>
    <col min="6" max="12" width="12.6640625" style="76" customWidth="1"/>
    <col min="13" max="30" width="5.664062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SWE Netz GmbH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88" t="s">
        <v>448</v>
      </c>
      <c r="C5" s="65" t="str">
        <f>Netzbetreiber!D28</f>
        <v>SWE Netz GmbH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6" t="s">
        <v>446</v>
      </c>
      <c r="C6" s="64" t="str">
        <f>Netzbetreiber!$D$11</f>
        <v>9870045600003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133</v>
      </c>
      <c r="C7" s="59">
        <f>Netzbetreiber!$D$6</f>
        <v>44105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3" t="s">
        <v>462</v>
      </c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5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>
      <c r="B10" s="358" t="s">
        <v>590</v>
      </c>
      <c r="C10" s="359"/>
      <c r="D10" s="95">
        <v>2</v>
      </c>
      <c r="E10" s="96" t="str">
        <f>IF(ISERROR(HLOOKUP(E$11,$M$9:$AD$35,$D10,0)),"",HLOOKUP(E$11,$M$9:$AD$35,$D10,0))</f>
        <v/>
      </c>
      <c r="F10" s="356" t="s">
        <v>400</v>
      </c>
      <c r="G10" s="356"/>
      <c r="H10" s="356"/>
      <c r="I10" s="356"/>
      <c r="J10" s="356"/>
      <c r="K10" s="356"/>
      <c r="L10" s="357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" thickBot="1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0" t="s">
        <v>401</v>
      </c>
      <c r="C12" s="111"/>
      <c r="D12" s="112">
        <v>4</v>
      </c>
      <c r="E12" s="315">
        <f>MIN(SUMPRODUCT($M$11:$AD$11,M12:AD12),1)</f>
        <v>1</v>
      </c>
      <c r="F12" s="312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4">
      <c r="B13" s="117" t="s">
        <v>402</v>
      </c>
      <c r="C13" s="118"/>
      <c r="D13" s="112">
        <v>5</v>
      </c>
      <c r="E13" s="316">
        <f t="shared" ref="E13:E34" si="0">MIN(SUMPRODUCT($M$11:$AD$11,M13:AD13),1)</f>
        <v>0</v>
      </c>
      <c r="F13" s="313"/>
      <c r="G13" s="81"/>
      <c r="H13" s="81"/>
      <c r="I13" s="81"/>
      <c r="J13" s="81"/>
      <c r="K13" s="81"/>
      <c r="L13" s="82"/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4">
      <c r="B14" s="117" t="s">
        <v>403</v>
      </c>
      <c r="C14" s="118"/>
      <c r="D14" s="112">
        <v>6</v>
      </c>
      <c r="E14" s="316">
        <f t="shared" si="0"/>
        <v>0</v>
      </c>
      <c r="F14" s="313"/>
      <c r="G14" s="81"/>
      <c r="H14" s="81"/>
      <c r="I14" s="81"/>
      <c r="J14" s="81"/>
      <c r="K14" s="81"/>
      <c r="L14" s="82"/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4">
      <c r="B15" s="117" t="s">
        <v>405</v>
      </c>
      <c r="C15" s="118"/>
      <c r="D15" s="112">
        <v>7</v>
      </c>
      <c r="E15" s="316">
        <f t="shared" si="0"/>
        <v>0</v>
      </c>
      <c r="F15" s="313"/>
      <c r="G15" s="81"/>
      <c r="H15" s="81"/>
      <c r="I15" s="81"/>
      <c r="J15" s="81"/>
      <c r="K15" s="81"/>
      <c r="L15" s="82"/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4">
      <c r="B16" s="122" t="s">
        <v>417</v>
      </c>
      <c r="C16" s="118"/>
      <c r="D16" s="112">
        <v>8</v>
      </c>
      <c r="E16" s="316">
        <f t="shared" si="0"/>
        <v>1</v>
      </c>
      <c r="F16" s="313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4">
      <c r="B17" s="122" t="s">
        <v>418</v>
      </c>
      <c r="C17" s="118"/>
      <c r="D17" s="112">
        <v>9</v>
      </c>
      <c r="E17" s="316">
        <f t="shared" si="0"/>
        <v>1</v>
      </c>
      <c r="F17" s="313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4">
      <c r="B18" s="122" t="s">
        <v>419</v>
      </c>
      <c r="C18" s="118"/>
      <c r="D18" s="112">
        <v>10</v>
      </c>
      <c r="E18" s="316">
        <f t="shared" si="0"/>
        <v>1</v>
      </c>
      <c r="F18" s="313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4">
      <c r="B19" s="340" t="s">
        <v>658</v>
      </c>
      <c r="C19" s="341"/>
      <c r="D19" s="112"/>
      <c r="E19" s="316">
        <v>0</v>
      </c>
      <c r="F19" s="313"/>
      <c r="G19" s="81"/>
      <c r="H19" s="81"/>
      <c r="I19" s="81"/>
      <c r="J19" s="81"/>
      <c r="K19" s="81"/>
      <c r="L19" s="82"/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4.4">
      <c r="B20" s="122" t="s">
        <v>406</v>
      </c>
      <c r="C20" s="118"/>
      <c r="D20" s="112">
        <v>11</v>
      </c>
      <c r="E20" s="316">
        <f t="shared" si="0"/>
        <v>1</v>
      </c>
      <c r="F20" s="313" t="s">
        <v>397</v>
      </c>
      <c r="G20" s="81" t="s">
        <v>397</v>
      </c>
      <c r="H20" s="81" t="s">
        <v>397</v>
      </c>
      <c r="I20" s="81" t="s">
        <v>397</v>
      </c>
      <c r="J20" s="81" t="s">
        <v>397</v>
      </c>
      <c r="K20" s="81" t="s">
        <v>397</v>
      </c>
      <c r="L20" s="82" t="s">
        <v>397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4">
      <c r="B21" s="122" t="s">
        <v>656</v>
      </c>
      <c r="C21" s="118"/>
      <c r="D21" s="112">
        <v>12</v>
      </c>
      <c r="E21" s="316">
        <f t="shared" si="0"/>
        <v>1</v>
      </c>
      <c r="F21" s="313" t="s">
        <v>404</v>
      </c>
      <c r="G21" s="81" t="s">
        <v>404</v>
      </c>
      <c r="H21" s="81" t="s">
        <v>404</v>
      </c>
      <c r="I21" s="81" t="s">
        <v>397</v>
      </c>
      <c r="J21" s="81" t="s">
        <v>404</v>
      </c>
      <c r="K21" s="81" t="s">
        <v>404</v>
      </c>
      <c r="L21" s="82" t="s">
        <v>404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4">
      <c r="B22" s="122" t="s">
        <v>420</v>
      </c>
      <c r="C22" s="118"/>
      <c r="D22" s="112">
        <v>13</v>
      </c>
      <c r="E22" s="316">
        <f t="shared" si="0"/>
        <v>1</v>
      </c>
      <c r="F22" s="313" t="s">
        <v>404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397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4">
      <c r="B23" s="122" t="s">
        <v>421</v>
      </c>
      <c r="C23" s="118"/>
      <c r="D23" s="112">
        <v>14</v>
      </c>
      <c r="E23" s="316">
        <f t="shared" si="0"/>
        <v>1</v>
      </c>
      <c r="F23" s="313" t="s">
        <v>397</v>
      </c>
      <c r="G23" s="81" t="s">
        <v>404</v>
      </c>
      <c r="H23" s="81" t="s">
        <v>404</v>
      </c>
      <c r="I23" s="81" t="s">
        <v>404</v>
      </c>
      <c r="J23" s="81" t="s">
        <v>404</v>
      </c>
      <c r="K23" s="81" t="s">
        <v>404</v>
      </c>
      <c r="L23" s="82" t="s">
        <v>404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4.4">
      <c r="B24" s="117" t="s">
        <v>422</v>
      </c>
      <c r="C24" s="118"/>
      <c r="D24" s="112">
        <v>15</v>
      </c>
      <c r="E24" s="316">
        <f t="shared" si="0"/>
        <v>0</v>
      </c>
      <c r="F24" s="313"/>
      <c r="G24" s="81"/>
      <c r="H24" s="81"/>
      <c r="I24" s="81"/>
      <c r="J24" s="81"/>
      <c r="K24" s="81"/>
      <c r="L24" s="82"/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4.4">
      <c r="B25" s="117" t="s">
        <v>407</v>
      </c>
      <c r="C25" s="118"/>
      <c r="D25" s="112">
        <v>16</v>
      </c>
      <c r="E25" s="316">
        <f t="shared" si="0"/>
        <v>0</v>
      </c>
      <c r="F25" s="313"/>
      <c r="G25" s="81"/>
      <c r="H25" s="81"/>
      <c r="I25" s="81"/>
      <c r="J25" s="81"/>
      <c r="K25" s="81"/>
      <c r="L25" s="82"/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4.4">
      <c r="B26" s="117" t="s">
        <v>408</v>
      </c>
      <c r="C26" s="118"/>
      <c r="D26" s="112">
        <v>17</v>
      </c>
      <c r="E26" s="316">
        <f t="shared" si="0"/>
        <v>0</v>
      </c>
      <c r="F26" s="313"/>
      <c r="G26" s="81"/>
      <c r="H26" s="81"/>
      <c r="I26" s="81"/>
      <c r="J26" s="81"/>
      <c r="K26" s="81"/>
      <c r="L26" s="82"/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4.4">
      <c r="B27" s="340" t="s">
        <v>657</v>
      </c>
      <c r="C27" s="341"/>
      <c r="D27" s="112"/>
      <c r="E27" s="316">
        <v>1</v>
      </c>
      <c r="F27" s="313" t="s">
        <v>397</v>
      </c>
      <c r="G27" s="81" t="s">
        <v>397</v>
      </c>
      <c r="H27" s="81" t="s">
        <v>397</v>
      </c>
      <c r="I27" s="81" t="s">
        <v>397</v>
      </c>
      <c r="J27" s="81" t="s">
        <v>397</v>
      </c>
      <c r="K27" s="81" t="s">
        <v>397</v>
      </c>
      <c r="L27" s="82" t="s">
        <v>397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>
        <v>1</v>
      </c>
    </row>
    <row r="28" spans="2:30" ht="14.4">
      <c r="B28" s="122" t="s">
        <v>409</v>
      </c>
      <c r="C28" s="118"/>
      <c r="D28" s="112">
        <v>18</v>
      </c>
      <c r="E28" s="316">
        <f t="shared" si="0"/>
        <v>1</v>
      </c>
      <c r="F28" s="313" t="s">
        <v>397</v>
      </c>
      <c r="G28" s="81" t="s">
        <v>397</v>
      </c>
      <c r="H28" s="81" t="s">
        <v>397</v>
      </c>
      <c r="I28" s="81" t="s">
        <v>397</v>
      </c>
      <c r="J28" s="81" t="s">
        <v>397</v>
      </c>
      <c r="K28" s="81" t="s">
        <v>397</v>
      </c>
      <c r="L28" s="82" t="s">
        <v>397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4.4">
      <c r="B29" s="340" t="s">
        <v>410</v>
      </c>
      <c r="C29" s="341"/>
      <c r="D29" s="342">
        <v>19</v>
      </c>
      <c r="E29" s="343">
        <v>1</v>
      </c>
      <c r="F29" s="313" t="s">
        <v>397</v>
      </c>
      <c r="G29" s="313" t="s">
        <v>397</v>
      </c>
      <c r="H29" s="313" t="s">
        <v>397</v>
      </c>
      <c r="I29" s="313" t="s">
        <v>397</v>
      </c>
      <c r="J29" s="313" t="s">
        <v>397</v>
      </c>
      <c r="K29" s="313" t="s">
        <v>397</v>
      </c>
      <c r="L29" s="313" t="s">
        <v>397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>
        <v>1</v>
      </c>
    </row>
    <row r="30" spans="2:30" ht="14.4">
      <c r="B30" s="117" t="s">
        <v>411</v>
      </c>
      <c r="C30" s="118"/>
      <c r="D30" s="112">
        <v>20</v>
      </c>
      <c r="E30" s="316">
        <f t="shared" si="0"/>
        <v>0</v>
      </c>
      <c r="F30" s="313"/>
      <c r="G30" s="81"/>
      <c r="H30" s="81"/>
      <c r="I30" s="81"/>
      <c r="J30" s="81"/>
      <c r="K30" s="81"/>
      <c r="L30" s="82"/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4.4">
      <c r="B31" s="117" t="s">
        <v>412</v>
      </c>
      <c r="C31" s="118"/>
      <c r="D31" s="112">
        <v>21</v>
      </c>
      <c r="E31" s="316">
        <f t="shared" si="0"/>
        <v>0</v>
      </c>
      <c r="F31" s="313"/>
      <c r="G31" s="81"/>
      <c r="H31" s="81"/>
      <c r="I31" s="81"/>
      <c r="J31" s="81"/>
      <c r="K31" s="81"/>
      <c r="L31" s="82"/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4.4">
      <c r="B32" s="117" t="s">
        <v>413</v>
      </c>
      <c r="C32" s="118"/>
      <c r="D32" s="112">
        <v>22</v>
      </c>
      <c r="E32" s="316">
        <v>1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397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>
        <v>1</v>
      </c>
    </row>
    <row r="33" spans="2:30" ht="14.4">
      <c r="B33" s="122" t="s">
        <v>414</v>
      </c>
      <c r="C33" s="118"/>
      <c r="D33" s="112">
        <v>23</v>
      </c>
      <c r="E33" s="316">
        <f t="shared" si="0"/>
        <v>1</v>
      </c>
      <c r="F33" s="313" t="s">
        <v>397</v>
      </c>
      <c r="G33" s="81" t="s">
        <v>397</v>
      </c>
      <c r="H33" s="81" t="s">
        <v>397</v>
      </c>
      <c r="I33" s="81" t="s">
        <v>397</v>
      </c>
      <c r="J33" s="81" t="s">
        <v>397</v>
      </c>
      <c r="K33" s="81" t="s">
        <v>397</v>
      </c>
      <c r="L33" s="82" t="s">
        <v>397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4.4">
      <c r="B34" s="122" t="s">
        <v>415</v>
      </c>
      <c r="C34" s="118"/>
      <c r="D34" s="112">
        <v>24</v>
      </c>
      <c r="E34" s="316">
        <f t="shared" si="0"/>
        <v>1</v>
      </c>
      <c r="F34" s="313" t="s">
        <v>397</v>
      </c>
      <c r="G34" s="81" t="s">
        <v>397</v>
      </c>
      <c r="H34" s="81" t="s">
        <v>397</v>
      </c>
      <c r="I34" s="81" t="s">
        <v>397</v>
      </c>
      <c r="J34" s="81" t="s">
        <v>397</v>
      </c>
      <c r="K34" s="81" t="s">
        <v>397</v>
      </c>
      <c r="L34" s="82" t="s">
        <v>397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" thickBot="1">
      <c r="B35" s="123" t="s">
        <v>416</v>
      </c>
      <c r="C35" s="124"/>
      <c r="D35" s="125">
        <v>25</v>
      </c>
      <c r="E35" s="317">
        <v>1</v>
      </c>
      <c r="F35" s="314" t="s">
        <v>396</v>
      </c>
      <c r="G35" s="83" t="s">
        <v>396</v>
      </c>
      <c r="H35" s="83" t="s">
        <v>396</v>
      </c>
      <c r="I35" s="83" t="s">
        <v>396</v>
      </c>
      <c r="J35" s="83" t="s">
        <v>396</v>
      </c>
      <c r="K35" s="83" t="s">
        <v>396</v>
      </c>
      <c r="L35" s="84" t="s">
        <v>397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>
        <v>1</v>
      </c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8" customWidth="1"/>
    <col min="2" max="2" width="7" style="259" customWidth="1"/>
    <col min="3" max="3" width="27.6640625" style="238" customWidth="1"/>
    <col min="4" max="10" width="8.88671875" style="238" customWidth="1"/>
    <col min="11" max="14" width="11.44140625" style="238" customWidth="1"/>
    <col min="15" max="15" width="12.33203125" style="129" customWidth="1"/>
    <col min="16" max="16" width="16.5546875" style="238" customWidth="1"/>
    <col min="17" max="16384" width="11.44140625" style="238"/>
  </cols>
  <sheetData>
    <row r="1" spans="1:16" s="237" customFormat="1">
      <c r="A1" s="132" t="s">
        <v>459</v>
      </c>
      <c r="B1" s="129"/>
      <c r="D1" s="218" t="s">
        <v>552</v>
      </c>
    </row>
    <row r="2" spans="1:16">
      <c r="A2" s="238"/>
      <c r="B2" s="237" t="s">
        <v>460</v>
      </c>
    </row>
    <row r="3" spans="1:16" ht="20.100000000000001" customHeight="1">
      <c r="A3" s="360" t="s">
        <v>249</v>
      </c>
      <c r="B3" s="239" t="s">
        <v>86</v>
      </c>
      <c r="C3" s="240"/>
      <c r="D3" s="362" t="s">
        <v>461</v>
      </c>
      <c r="E3" s="363"/>
      <c r="F3" s="363"/>
      <c r="G3" s="363"/>
      <c r="H3" s="363"/>
      <c r="I3" s="363"/>
      <c r="J3" s="364"/>
      <c r="K3" s="241"/>
      <c r="L3" s="241"/>
      <c r="M3" s="241"/>
      <c r="N3" s="241"/>
      <c r="O3" s="242"/>
      <c r="P3" s="241"/>
    </row>
    <row r="4" spans="1:16" ht="20.100000000000001" customHeight="1">
      <c r="A4" s="361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370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370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9.6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6.4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Nicolaus, Julia</cp:lastModifiedBy>
  <cp:lastPrinted>2015-03-20T22:59:10Z</cp:lastPrinted>
  <dcterms:created xsi:type="dcterms:W3CDTF">2015-01-15T05:25:41Z</dcterms:created>
  <dcterms:modified xsi:type="dcterms:W3CDTF">2020-06-18T11:55:16Z</dcterms:modified>
</cp:coreProperties>
</file>